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ANHALA\בניה כפרית\2021\התכתבויות\מרום גליל\בירייה\חומר לעלויות פיתוח\"/>
    </mc:Choice>
  </mc:AlternateContent>
  <xr:revisionPtr revIDLastSave="0" documentId="13_ncr:1_{A377BDF5-348E-4E19-A944-5D4AF4B0F8BB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תחשיב" sheetId="1" r:id="rId1"/>
    <sheet name="מידוד סבסוד" sheetId="2" r:id="rId2"/>
    <sheet name="גיליון3" sheetId="3" r:id="rId3"/>
  </sheets>
  <calcPr calcId="191029"/>
</workbook>
</file>

<file path=xl/calcChain.xml><?xml version="1.0" encoding="utf-8"?>
<calcChain xmlns="http://schemas.openxmlformats.org/spreadsheetml/2006/main">
  <c r="E10" i="1" l="1"/>
  <c r="E11" i="1"/>
  <c r="E12" i="1"/>
  <c r="G12" i="1" l="1"/>
  <c r="G11" i="1" s="1"/>
  <c r="E13" i="1"/>
  <c r="F10" i="1" s="1"/>
  <c r="D15" i="1" s="1"/>
  <c r="B49" i="1"/>
  <c r="B35" i="1"/>
  <c r="G10" i="1" l="1"/>
  <c r="F12" i="1"/>
  <c r="E15" i="1" s="1"/>
  <c r="F11" i="1"/>
  <c r="C15" i="1" s="1"/>
  <c r="K22" i="2"/>
  <c r="L22" i="2" s="1"/>
  <c r="B44" i="2" s="1"/>
  <c r="I22" i="2"/>
  <c r="J22" i="2" s="1"/>
  <c r="G22" i="2"/>
  <c r="H22" i="2" s="1"/>
  <c r="F22" i="2"/>
  <c r="E22" i="2"/>
  <c r="D22" i="2"/>
  <c r="K21" i="2"/>
  <c r="L21" i="2" s="1"/>
  <c r="B43" i="2" s="1"/>
  <c r="I21" i="2"/>
  <c r="J21" i="2" s="1"/>
  <c r="G21" i="2"/>
  <c r="H21" i="2" s="1"/>
  <c r="F21" i="2"/>
  <c r="E21" i="2"/>
  <c r="D21" i="2"/>
  <c r="K20" i="2"/>
  <c r="L20" i="2" s="1"/>
  <c r="B42" i="2" s="1"/>
  <c r="I20" i="2"/>
  <c r="J20" i="2" s="1"/>
  <c r="H20" i="2"/>
  <c r="G20" i="2"/>
  <c r="F20" i="2"/>
  <c r="E20" i="2"/>
  <c r="D20" i="2"/>
  <c r="K19" i="2"/>
  <c r="L19" i="2" s="1"/>
  <c r="B41" i="2" s="1"/>
  <c r="I19" i="2"/>
  <c r="J19" i="2" s="1"/>
  <c r="G19" i="2"/>
  <c r="H19" i="2" s="1"/>
  <c r="F19" i="2"/>
  <c r="E19" i="2"/>
  <c r="D19" i="2"/>
  <c r="L18" i="2"/>
  <c r="L17" i="2"/>
  <c r="K16" i="2"/>
  <c r="L16" i="2" s="1"/>
  <c r="B38" i="2" s="1"/>
  <c r="I16" i="2"/>
  <c r="J16" i="2" s="1"/>
  <c r="G16" i="2"/>
  <c r="H16" i="2" s="1"/>
  <c r="F16" i="2"/>
  <c r="E16" i="2"/>
  <c r="D16" i="2"/>
  <c r="K15" i="2"/>
  <c r="L15" i="2" s="1"/>
  <c r="B37" i="2" s="1"/>
  <c r="I15" i="2"/>
  <c r="J15" i="2" s="1"/>
  <c r="G15" i="2"/>
  <c r="H15" i="2" s="1"/>
  <c r="F15" i="2"/>
  <c r="E15" i="2"/>
  <c r="D15" i="2"/>
  <c r="K14" i="2"/>
  <c r="L14" i="2" s="1"/>
  <c r="B36" i="2" s="1"/>
  <c r="J14" i="2"/>
  <c r="I14" i="2"/>
  <c r="G14" i="2"/>
  <c r="H14" i="2" s="1"/>
  <c r="F14" i="2"/>
  <c r="E14" i="2"/>
  <c r="D14" i="2"/>
  <c r="K13" i="2"/>
  <c r="L13" i="2" s="1"/>
  <c r="B35" i="2" s="1"/>
  <c r="I13" i="2"/>
  <c r="J13" i="2" s="1"/>
  <c r="G13" i="2"/>
  <c r="H13" i="2" s="1"/>
  <c r="F13" i="2"/>
  <c r="E13" i="2"/>
  <c r="D13" i="2"/>
  <c r="L12" i="2"/>
  <c r="L11" i="2"/>
  <c r="K10" i="2"/>
  <c r="L10" i="2" s="1"/>
  <c r="B32" i="2" s="1"/>
  <c r="I10" i="2"/>
  <c r="J10" i="2" s="1"/>
  <c r="G10" i="2"/>
  <c r="H10" i="2" s="1"/>
  <c r="F10" i="2"/>
  <c r="E10" i="2"/>
  <c r="D10" i="2"/>
  <c r="K9" i="2"/>
  <c r="L9" i="2" s="1"/>
  <c r="B31" i="2" s="1"/>
  <c r="I9" i="2"/>
  <c r="J9" i="2" s="1"/>
  <c r="G9" i="2"/>
  <c r="H9" i="2" s="1"/>
  <c r="F9" i="2"/>
  <c r="E9" i="2"/>
  <c r="D9" i="2"/>
  <c r="L8" i="2"/>
  <c r="B30" i="2" s="1"/>
  <c r="K8" i="2"/>
  <c r="I8" i="2"/>
  <c r="J8" i="2" s="1"/>
  <c r="G8" i="2"/>
  <c r="H8" i="2" s="1"/>
  <c r="F8" i="2"/>
  <c r="E8" i="2"/>
  <c r="D8" i="2"/>
  <c r="K7" i="2"/>
  <c r="L7" i="2" s="1"/>
  <c r="B29" i="2" s="1"/>
  <c r="I7" i="2"/>
  <c r="J7" i="2" s="1"/>
  <c r="G7" i="2"/>
  <c r="H7" i="2" s="1"/>
  <c r="F7" i="2"/>
  <c r="E7" i="2"/>
  <c r="D7" i="2"/>
  <c r="C40" i="1" l="1"/>
  <c r="D40" i="1"/>
  <c r="E40" i="1"/>
  <c r="B40" i="1"/>
  <c r="B42" i="1" s="1"/>
  <c r="E41" i="1" l="1"/>
  <c r="E42" i="1"/>
  <c r="D41" i="1"/>
  <c r="D42" i="1"/>
  <c r="C41" i="1"/>
  <c r="C42" i="1"/>
  <c r="B41" i="1"/>
  <c r="B44" i="1" s="1"/>
  <c r="B27" i="1"/>
  <c r="B53" i="1"/>
  <c r="E27" i="1" l="1"/>
  <c r="D27" i="1"/>
  <c r="C27" i="1"/>
  <c r="B55" i="1"/>
  <c r="D53" i="1"/>
  <c r="C53" i="1"/>
  <c r="D29" i="1"/>
  <c r="D30" i="1"/>
  <c r="C44" i="1"/>
  <c r="C45" i="1" s="1"/>
  <c r="E29" i="1"/>
  <c r="E30" i="1"/>
  <c r="D44" i="1"/>
  <c r="D45" i="1" s="1"/>
  <c r="C29" i="1"/>
  <c r="C30" i="1"/>
  <c r="E44" i="1"/>
  <c r="E45" i="1" s="1"/>
  <c r="B29" i="1"/>
  <c r="B30" i="1"/>
  <c r="B45" i="1"/>
  <c r="B46" i="1" s="1"/>
  <c r="B54" i="1"/>
  <c r="C55" i="1"/>
  <c r="E53" i="1"/>
  <c r="E55" i="1" s="1"/>
  <c r="D54" i="1" l="1"/>
  <c r="D55" i="1"/>
  <c r="D56" i="1" s="1"/>
  <c r="D57" i="1" s="1"/>
  <c r="D58" i="1" s="1"/>
  <c r="E54" i="1"/>
  <c r="E56" i="1" s="1"/>
  <c r="C54" i="1"/>
  <c r="E28" i="1"/>
  <c r="E57" i="1" l="1"/>
  <c r="E58" i="1" s="1"/>
  <c r="E46" i="1"/>
  <c r="E31" i="1"/>
  <c r="E32" i="1" s="1"/>
  <c r="E33" i="1" s="1"/>
  <c r="E62" i="1" s="1"/>
  <c r="E64" i="1" s="1"/>
  <c r="E65" i="1" s="1"/>
  <c r="B56" i="1"/>
  <c r="B57" i="1" s="1"/>
  <c r="B58" i="1" s="1"/>
  <c r="C56" i="1"/>
  <c r="C57" i="1" l="1"/>
  <c r="C58" i="1" s="1"/>
  <c r="C67" i="1" s="1"/>
  <c r="E66" i="1"/>
  <c r="E67" i="1"/>
  <c r="D46" i="1"/>
  <c r="C46" i="1"/>
  <c r="D67" i="1"/>
  <c r="C28" i="1"/>
  <c r="C31" i="1" s="1"/>
  <c r="C32" i="1" s="1"/>
  <c r="D28" i="1"/>
  <c r="D31" i="1" s="1"/>
  <c r="D32" i="1" s="1"/>
  <c r="E68" i="1" l="1"/>
  <c r="D33" i="1"/>
  <c r="D62" i="1" s="1"/>
  <c r="D64" i="1" s="1"/>
  <c r="B28" i="1"/>
  <c r="C33" i="1"/>
  <c r="C62" i="1" s="1"/>
  <c r="C64" i="1" s="1"/>
  <c r="C66" i="1" s="1"/>
  <c r="D66" i="1" l="1"/>
  <c r="D68" i="1" s="1"/>
  <c r="B31" i="1"/>
  <c r="C68" i="1"/>
  <c r="B32" i="1" l="1"/>
  <c r="B33" i="1" s="1"/>
  <c r="B62" i="1" s="1"/>
  <c r="B67" i="1"/>
  <c r="B64" i="1" l="1"/>
  <c r="B66" i="1" s="1"/>
  <c r="B68" i="1" s="1"/>
</calcChain>
</file>

<file path=xl/sharedStrings.xml><?xml version="1.0" encoding="utf-8"?>
<sst xmlns="http://schemas.openxmlformats.org/spreadsheetml/2006/main" count="182" uniqueCount="135">
  <si>
    <t>כבישים</t>
  </si>
  <si>
    <t>מים</t>
  </si>
  <si>
    <t>ביוב</t>
  </si>
  <si>
    <t>שצ"פ</t>
  </si>
  <si>
    <t>תאורה</t>
  </si>
  <si>
    <t>העתקת עצים</t>
  </si>
  <si>
    <t>סה"כ</t>
  </si>
  <si>
    <t>בצ"מ 10%</t>
  </si>
  <si>
    <t>תכנון וניהול 12%</t>
  </si>
  <si>
    <t>תצ"ר 2%</t>
  </si>
  <si>
    <t>מע"מ 17%</t>
  </si>
  <si>
    <t>ממוצע ליח"ד</t>
  </si>
  <si>
    <t>נושא/ מס' יח"ד</t>
  </si>
  <si>
    <t xml:space="preserve">א. עבודות שכיחות באתר (אש"ח)  </t>
  </si>
  <si>
    <t>עלות ממוצעת ליח"ד</t>
  </si>
  <si>
    <t>עבודות שכיחות</t>
  </si>
  <si>
    <t>עבודות ראש שטח</t>
  </si>
  <si>
    <t>סה"כ פיתוח ציבורי</t>
  </si>
  <si>
    <t>סבסוד ליח"ד</t>
  </si>
  <si>
    <t>עבודות ללא סבסוד</t>
  </si>
  <si>
    <t>עותקים:</t>
  </si>
  <si>
    <t>אינג מאיה שטיין, ס/מנהל אגף לבצוע</t>
  </si>
  <si>
    <t>אינג' אינסה אדלר, ממונה עלויות פיתוח, אגף תכנון ובצוע</t>
  </si>
  <si>
    <t>בכבוד רב,</t>
  </si>
  <si>
    <t>אברי לבני</t>
  </si>
  <si>
    <t>מנהל אגף תכנון וביצוע</t>
  </si>
  <si>
    <t>מידוד סבסוד</t>
  </si>
  <si>
    <t>סבסוד</t>
  </si>
  <si>
    <t>04/2016</t>
  </si>
  <si>
    <t>05/2016</t>
  </si>
  <si>
    <t>06/2016</t>
  </si>
  <si>
    <t>07/2016</t>
  </si>
  <si>
    <t>08/2016</t>
  </si>
  <si>
    <t>09/2016</t>
  </si>
  <si>
    <t xml:space="preserve">א'1 </t>
  </si>
  <si>
    <t>א</t>
  </si>
  <si>
    <t>ב</t>
  </si>
  <si>
    <t>ג</t>
  </si>
  <si>
    <t>ד</t>
  </si>
  <si>
    <t>א'2</t>
  </si>
  <si>
    <t xml:space="preserve">א </t>
  </si>
  <si>
    <t>ב'</t>
  </si>
  <si>
    <t>עדיפות לאומית;</t>
  </si>
  <si>
    <t>מדד;</t>
  </si>
  <si>
    <t>שיפוע;</t>
  </si>
  <si>
    <t>יישוב;</t>
  </si>
  <si>
    <t>מחוז;</t>
  </si>
  <si>
    <t>אש"ח</t>
  </si>
  <si>
    <t>תוקף:</t>
  </si>
  <si>
    <t xml:space="preserve">יפ. </t>
  </si>
  <si>
    <t>בנוי:</t>
  </si>
  <si>
    <t>יח"ד ראש שטח:</t>
  </si>
  <si>
    <t xml:space="preserve"> תב"ע: </t>
  </si>
  <si>
    <t>מגרשים:</t>
  </si>
  <si>
    <t>אישור רמ"י</t>
  </si>
  <si>
    <t>תאריך:</t>
  </si>
  <si>
    <t>אסמכתא:</t>
  </si>
  <si>
    <t>מדד:</t>
  </si>
  <si>
    <t>העתקות פירוקים</t>
  </si>
  <si>
    <t>עתיקות</t>
  </si>
  <si>
    <t>כבישי גישה</t>
  </si>
  <si>
    <t xml:space="preserve">מים </t>
  </si>
  <si>
    <t>ביוב מט"ש/ת"ס</t>
  </si>
  <si>
    <t>העתקת מ"ג</t>
  </si>
  <si>
    <t>תמוך ע"ע במגרש</t>
  </si>
  <si>
    <t>חבורי חשמל</t>
  </si>
  <si>
    <t>גביה לפיתוח צבורי</t>
  </si>
  <si>
    <t>סה"כ גביה ליח"ד</t>
  </si>
  <si>
    <t>מגרשים א. 0.5ד'/יח'</t>
  </si>
  <si>
    <t>מגרשים ב.0.75ד'/יח'</t>
  </si>
  <si>
    <t>מגרשים ג. 1.0 ד'/יח'</t>
  </si>
  <si>
    <t xml:space="preserve">עבודה ליח"ד </t>
  </si>
  <si>
    <t>למגרשי א</t>
  </si>
  <si>
    <t>למגרשי ב</t>
  </si>
  <si>
    <t>ס"כ פיתוח למתחם</t>
  </si>
  <si>
    <t>ערך מדד</t>
  </si>
  <si>
    <t>107.8</t>
  </si>
  <si>
    <t>108</t>
  </si>
  <si>
    <t>108.1</t>
  </si>
  <si>
    <t>108.5</t>
  </si>
  <si>
    <t>108.8</t>
  </si>
  <si>
    <t>החיוב ליח"ד ממוצעת ובחישוב יחסי לגודל מגרש וזכויות בניה.</t>
  </si>
  <si>
    <t>03/2016</t>
  </si>
  <si>
    <t>10/2016</t>
  </si>
  <si>
    <t>11/2016</t>
  </si>
  <si>
    <t>12/2016</t>
  </si>
  <si>
    <t>107.5</t>
  </si>
  <si>
    <t>109</t>
  </si>
  <si>
    <t>01/2017</t>
  </si>
  <si>
    <t>02/2017</t>
  </si>
  <si>
    <t>03/2017</t>
  </si>
  <si>
    <t>04/2017</t>
  </si>
  <si>
    <t>05/2017</t>
  </si>
  <si>
    <t>06/2017</t>
  </si>
  <si>
    <t>07/2017</t>
  </si>
  <si>
    <t>08/2017</t>
  </si>
  <si>
    <t>9/2017</t>
  </si>
  <si>
    <t>10/2017</t>
  </si>
  <si>
    <t>11/2017</t>
  </si>
  <si>
    <t>12/2017</t>
  </si>
  <si>
    <t>705-</t>
  </si>
  <si>
    <t>ב. עבודות ראש שטח (מסובסד) יח"ד מסה"כ  (אש"ח)</t>
  </si>
  <si>
    <t>ג. עבודות מיוחדות ליח"ד (ללא סבסוד): (אש"ח)</t>
  </si>
  <si>
    <t>סבסוד לפי ה"מ {החלטת ממשלה}: 2017;21/9/14;בתי אגודה+העמקת סבסוד=בקו קדמי:180 אש"ח ליח"ד/;ביתר-140&lt;85%;</t>
  </si>
  <si>
    <t>היטלי מים / ביוב למו"א:   ₪ למ"ר מבנה +  ₪ למ"ר קרקע.(מדד - ){תפעול / ביבמאסף / מט"ש )</t>
  </si>
  <si>
    <t>הכנה לתקשרת</t>
  </si>
  <si>
    <t>בתי אגודה /העמקת סבסוד במגרשים  לסבסוד 70/85% או 180 אש"ח ליח"ד.</t>
  </si>
  <si>
    <t>אינג' שמעון אלפסי, שלומי בן הרוש, נמרוד אבירם, לב ליפמן ,ראש תחום,מחוז דרום</t>
  </si>
  <si>
    <t>אינג' מיכאל גרמידר,סמח"ט לעניני הכפר,מחוז ירושלים</t>
  </si>
  <si>
    <t>אינג' אלון עמרם, בוריס קפוסטין,,מחוז מרכז</t>
  </si>
  <si>
    <t>ד. סה"כ עלות עבודות פיתוח באתר (סבסוד לפי שיפוע ועדיפות לאומית)  א1/א2/ב = &gt;20%/50%/70%;(אש"ח ליח"ד)</t>
  </si>
  <si>
    <t>לכב' גב' אסנת קמחי, סמנכ"לית בכירה לעניני הכפר</t>
  </si>
  <si>
    <t>לפי החלטת 1504 מועצת רמ"י  מ 18/4/16 מאושר לגבייה ע"י המ"א לפי ס' 4.9.2 סך 15 אש"ח ליח"ד (מדד 12/08)לשדרוג תשתיות בישוב הותיק.</t>
  </si>
  <si>
    <t>סבסוד לפי ה"מ {החלטת ממשלה}: 1527;13/6/16;סווג עדיפות לאומית א1=70%/א=50%2/ב=20% {שיפוע ממוצע במתחם};</t>
  </si>
  <si>
    <t>התכנון לא/כן ע"י משב"ש בסך  אש"ח  יח"ד סך:   אש"ח ליח"ד כן/לא יגבה מהסבסוד.(מדד 1-12/2018)</t>
  </si>
  <si>
    <t>מועצה אזורית:</t>
  </si>
  <si>
    <t>אינג' ערן דולב,סלוא קאסם, שורוק אשתיוי, ולדימיר וקסמן, בני אורלוביץראש תחום,מר ישי רובין, ס/מנהל לעניני הכפר, מחוז הגליל</t>
  </si>
  <si>
    <t xml:space="preserve"> מס' יח"ד</t>
  </si>
  <si>
    <t>הנידון:  הישוב X אישור  סבסוד  לעלויות  פיתוח  ל x יח"ד 10/05/2018</t>
  </si>
  <si>
    <t>אינג' אינה  אוזדין,ראמז פארסראש תחום,מחוז חיפה</t>
  </si>
  <si>
    <t>העתקת קו מקורות</t>
  </si>
  <si>
    <t xml:space="preserve">מאגרי מים ותחנה  </t>
  </si>
  <si>
    <t>הגליל</t>
  </si>
  <si>
    <t>בירייה</t>
  </si>
  <si>
    <t>230-231,301-308,317-325,504</t>
  </si>
  <si>
    <t>מרום הגליל</t>
  </si>
  <si>
    <t>209-0242768,ג-21874</t>
  </si>
  <si>
    <t>25.07.2017</t>
  </si>
  <si>
    <t xml:space="preserve">; א. 1 מגרשים {בגודל  0.5 ד'}1יח"ד: 230 </t>
  </si>
  <si>
    <t>; ב. 1מגרשים {בגודל 0.6 ד'} 1 יח"ד:  231</t>
  </si>
  <si>
    <t xml:space="preserve">; ג. 18 מגרשים {בודל  0.9 ד'} 32 יח"ד:    </t>
  </si>
  <si>
    <t>; ד. 1 מגרשים{בגודל 2,2ד'} 12 יח"ד:  504</t>
  </si>
  <si>
    <t>למגרשי ג רוויה</t>
  </si>
  <si>
    <t>32-0.5 דונם</t>
  </si>
  <si>
    <t>12 - רוויה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</si>
</sst>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_ * #,##0.000_ ;_ * \-#,##0.000_ ;_ * &quot;-&quot;??_ ;_ @_ "/>
  </numFmts>
  <fonts count="10" x14ac:knownFonts="1">
    <font>
      <sz val="11"/>
      <color theme="1"/>
      <name val="Arial"/>
      <family val="2"/>
      <charset val="177"/>
      <scheme val="minor"/>
    </font>
    <font>
      <sz val="9"/>
      <color theme="1"/>
      <name val="Arial"/>
      <family val="2"/>
      <charset val="177"/>
      <scheme val="minor"/>
    </font>
    <font>
      <b/>
      <sz val="10"/>
      <color theme="1"/>
      <name val="David"/>
      <family val="2"/>
      <charset val="177"/>
    </font>
    <font>
      <b/>
      <sz val="9"/>
      <color theme="1"/>
      <name val="Arial"/>
      <family val="2"/>
      <scheme val="minor"/>
    </font>
    <font>
      <b/>
      <sz val="10"/>
      <color rgb="FFFF0000"/>
      <name val="David"/>
      <family val="2"/>
      <charset val="177"/>
    </font>
    <font>
      <b/>
      <sz val="10"/>
      <color theme="1"/>
      <name val="Arial"/>
      <family val="2"/>
      <scheme val="minor"/>
    </font>
    <font>
      <b/>
      <sz val="10"/>
      <color theme="1"/>
      <name val="David"/>
      <family val="2"/>
    </font>
    <font>
      <b/>
      <sz val="9"/>
      <color theme="1"/>
      <name val="David"/>
      <family val="2"/>
    </font>
    <font>
      <b/>
      <u/>
      <sz val="10"/>
      <color theme="1"/>
      <name val="David"/>
      <family val="2"/>
    </font>
    <font>
      <sz val="11"/>
      <color theme="1"/>
      <name val="Arial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3" fontId="0" fillId="0" borderId="0" xfId="0" applyNumberForma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wrapText="1"/>
    </xf>
    <xf numFmtId="0" fontId="3" fillId="0" borderId="0" xfId="0" applyFont="1"/>
    <xf numFmtId="14" fontId="2" fillId="0" borderId="0" xfId="0" applyNumberFormat="1" applyFont="1"/>
    <xf numFmtId="3" fontId="2" fillId="0" borderId="0" xfId="0" applyNumberFormat="1" applyFont="1"/>
    <xf numFmtId="49" fontId="2" fillId="0" borderId="1" xfId="0" applyNumberFormat="1" applyFont="1" applyBorder="1"/>
    <xf numFmtId="3" fontId="2" fillId="0" borderId="1" xfId="0" applyNumberFormat="1" applyFont="1" applyBorder="1"/>
    <xf numFmtId="0" fontId="4" fillId="0" borderId="0" xfId="0" applyFont="1"/>
    <xf numFmtId="0" fontId="4" fillId="0" borderId="1" xfId="0" applyFont="1" applyBorder="1"/>
    <xf numFmtId="49" fontId="4" fillId="0" borderId="1" xfId="0" applyNumberFormat="1" applyFont="1" applyBorder="1"/>
    <xf numFmtId="0" fontId="5" fillId="0" borderId="0" xfId="0" applyFont="1"/>
    <xf numFmtId="15" fontId="5" fillId="0" borderId="0" xfId="0" applyNumberFormat="1" applyFont="1"/>
    <xf numFmtId="14" fontId="5" fillId="0" borderId="0" xfId="0" applyNumberFormat="1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2" borderId="2" xfId="0" applyFont="1" applyFill="1" applyBorder="1" applyAlignment="1">
      <alignment horizontal="right"/>
    </xf>
    <xf numFmtId="0" fontId="7" fillId="2" borderId="2" xfId="0" applyFont="1" applyFill="1" applyBorder="1"/>
    <xf numFmtId="0" fontId="7" fillId="0" borderId="3" xfId="0" applyFont="1" applyBorder="1" applyAlignment="1">
      <alignment horizontal="right"/>
    </xf>
    <xf numFmtId="14" fontId="7" fillId="0" borderId="3" xfId="0" applyNumberFormat="1" applyFont="1" applyBorder="1"/>
    <xf numFmtId="0" fontId="7" fillId="0" borderId="3" xfId="0" applyFont="1" applyBorder="1"/>
    <xf numFmtId="17" fontId="7" fillId="0" borderId="3" xfId="0" applyNumberFormat="1" applyFont="1" applyBorder="1"/>
    <xf numFmtId="0" fontId="7" fillId="0" borderId="0" xfId="0" applyFont="1" applyBorder="1" applyAlignment="1">
      <alignment horizontal="right"/>
    </xf>
    <xf numFmtId="14" fontId="7" fillId="0" borderId="0" xfId="0" applyNumberFormat="1" applyFont="1" applyBorder="1"/>
    <xf numFmtId="0" fontId="7" fillId="0" borderId="0" xfId="0" applyFont="1" applyBorder="1"/>
    <xf numFmtId="0" fontId="7" fillId="2" borderId="1" xfId="0" applyFont="1" applyFill="1" applyBorder="1"/>
    <xf numFmtId="0" fontId="7" fillId="0" borderId="1" xfId="0" applyFont="1" applyFill="1" applyBorder="1"/>
    <xf numFmtId="0" fontId="7" fillId="3" borderId="1" xfId="0" applyFont="1" applyFill="1" applyBorder="1"/>
    <xf numFmtId="0" fontId="7" fillId="0" borderId="1" xfId="0" applyFont="1" applyBorder="1"/>
    <xf numFmtId="0" fontId="6" fillId="3" borderId="1" xfId="0" applyFont="1" applyFill="1" applyBorder="1"/>
    <xf numFmtId="164" fontId="6" fillId="3" borderId="1" xfId="0" applyNumberFormat="1" applyFont="1" applyFill="1" applyBorder="1"/>
    <xf numFmtId="0" fontId="6" fillId="2" borderId="1" xfId="0" applyFont="1" applyFill="1" applyBorder="1"/>
    <xf numFmtId="164" fontId="6" fillId="2" borderId="1" xfId="0" applyNumberFormat="1" applyFont="1" applyFill="1" applyBorder="1"/>
    <xf numFmtId="0" fontId="6" fillId="0" borderId="1" xfId="0" applyFont="1" applyFill="1" applyBorder="1"/>
    <xf numFmtId="0" fontId="6" fillId="0" borderId="1" xfId="0" applyFont="1" applyBorder="1"/>
    <xf numFmtId="0" fontId="6" fillId="2" borderId="2" xfId="0" applyFont="1" applyFill="1" applyBorder="1"/>
    <xf numFmtId="0" fontId="6" fillId="0" borderId="3" xfId="0" applyFont="1" applyBorder="1"/>
    <xf numFmtId="14" fontId="6" fillId="0" borderId="3" xfId="0" applyNumberFormat="1" applyFont="1" applyBorder="1"/>
    <xf numFmtId="0" fontId="6" fillId="2" borderId="0" xfId="0" applyFont="1" applyFill="1"/>
    <xf numFmtId="0" fontId="7" fillId="0" borderId="3" xfId="0" applyFont="1" applyBorder="1" applyAlignment="1">
      <alignment wrapText="1"/>
    </xf>
    <xf numFmtId="3" fontId="7" fillId="0" borderId="1" xfId="0" applyNumberFormat="1" applyFont="1" applyBorder="1"/>
    <xf numFmtId="3" fontId="6" fillId="0" borderId="1" xfId="0" applyNumberFormat="1" applyFont="1" applyFill="1" applyBorder="1"/>
    <xf numFmtId="2" fontId="7" fillId="0" borderId="0" xfId="0" applyNumberFormat="1" applyFont="1" applyBorder="1"/>
    <xf numFmtId="2" fontId="7" fillId="0" borderId="0" xfId="0" applyNumberFormat="1" applyFont="1"/>
    <xf numFmtId="165" fontId="7" fillId="0" borderId="0" xfId="1" applyNumberFormat="1" applyFont="1" applyBorder="1"/>
    <xf numFmtId="165" fontId="7" fillId="0" borderId="0" xfId="1" applyNumberFormat="1" applyFont="1"/>
    <xf numFmtId="43" fontId="6" fillId="2" borderId="1" xfId="1" applyFont="1" applyFill="1" applyBorder="1"/>
    <xf numFmtId="43" fontId="6" fillId="3" borderId="1" xfId="1" applyFont="1" applyFill="1" applyBorder="1"/>
    <xf numFmtId="165" fontId="7" fillId="0" borderId="0" xfId="0" applyNumberFormat="1" applyFont="1" applyBorder="1"/>
    <xf numFmtId="166" fontId="7" fillId="0" borderId="0" xfId="0" applyNumberFormat="1" applyFont="1" applyBorder="1"/>
    <xf numFmtId="166" fontId="7" fillId="2" borderId="1" xfId="0" applyNumberFormat="1" applyFont="1" applyFill="1" applyBorder="1"/>
    <xf numFmtId="0" fontId="6" fillId="0" borderId="0" xfId="0" applyFont="1" applyAlignment="1">
      <alignment horizontal="right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165" fontId="6" fillId="2" borderId="1" xfId="1" applyNumberFormat="1" applyFont="1" applyFill="1" applyBorder="1"/>
    <xf numFmtId="165" fontId="7" fillId="2" borderId="1" xfId="1" applyNumberFormat="1" applyFont="1" applyFill="1" applyBorder="1"/>
    <xf numFmtId="165" fontId="6" fillId="4" borderId="1" xfId="1" applyNumberFormat="1" applyFont="1" applyFill="1" applyBorder="1"/>
    <xf numFmtId="0" fontId="6" fillId="4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rightToLeft="1" tabSelected="1" view="pageLayout" zoomScale="110" zoomScaleNormal="100" zoomScalePageLayoutView="110" workbookViewId="0">
      <selection activeCell="E61" sqref="E61"/>
    </sheetView>
  </sheetViews>
  <sheetFormatPr defaultColWidth="8.875" defaultRowHeight="12" x14ac:dyDescent="0.2"/>
  <cols>
    <col min="1" max="7" width="12.625" style="1" customWidth="1"/>
    <col min="8" max="9" width="12.875" style="1" customWidth="1"/>
    <col min="10" max="16384" width="8.875" style="1"/>
  </cols>
  <sheetData>
    <row r="1" spans="1:7" s="6" customFormat="1" ht="12.75" x14ac:dyDescent="0.2">
      <c r="A1" s="17" t="s">
        <v>111</v>
      </c>
      <c r="B1" s="14"/>
      <c r="C1" s="14"/>
      <c r="D1" s="14"/>
      <c r="E1" s="14"/>
      <c r="F1" s="14"/>
      <c r="G1" s="14"/>
    </row>
    <row r="2" spans="1:7" ht="13.5" thickBot="1" x14ac:dyDescent="0.25">
      <c r="A2" s="20" t="s">
        <v>118</v>
      </c>
      <c r="B2" s="14"/>
      <c r="C2" s="15"/>
      <c r="D2" s="16"/>
      <c r="E2" s="14"/>
      <c r="F2" s="15"/>
      <c r="G2" s="14"/>
    </row>
    <row r="3" spans="1:7" ht="12.75" x14ac:dyDescent="0.2">
      <c r="A3" s="40" t="s">
        <v>52</v>
      </c>
      <c r="B3" s="40" t="s">
        <v>48</v>
      </c>
      <c r="C3" s="40" t="s">
        <v>49</v>
      </c>
      <c r="D3" s="40" t="s">
        <v>50</v>
      </c>
      <c r="E3" s="40" t="s">
        <v>48</v>
      </c>
      <c r="F3" s="40" t="s">
        <v>51</v>
      </c>
      <c r="G3" s="40" t="s">
        <v>42</v>
      </c>
    </row>
    <row r="4" spans="1:7" ht="13.5" thickBot="1" x14ac:dyDescent="0.25">
      <c r="A4" s="41" t="s">
        <v>126</v>
      </c>
      <c r="B4" s="42" t="s">
        <v>127</v>
      </c>
      <c r="C4" s="41"/>
      <c r="D4" s="41"/>
      <c r="E4" s="41"/>
      <c r="F4" s="41">
        <v>0</v>
      </c>
      <c r="G4" s="41"/>
    </row>
    <row r="5" spans="1:7" ht="12.75" x14ac:dyDescent="0.2">
      <c r="A5" s="40" t="s">
        <v>46</v>
      </c>
      <c r="B5" s="40" t="s">
        <v>115</v>
      </c>
      <c r="C5" s="40" t="s">
        <v>45</v>
      </c>
      <c r="D5" s="43" t="s">
        <v>53</v>
      </c>
      <c r="E5" s="40" t="s">
        <v>44</v>
      </c>
      <c r="F5" s="40" t="s">
        <v>43</v>
      </c>
      <c r="G5" s="40" t="s">
        <v>47</v>
      </c>
    </row>
    <row r="6" spans="1:7" ht="24.75" thickBot="1" x14ac:dyDescent="0.25">
      <c r="A6" s="23" t="s">
        <v>122</v>
      </c>
      <c r="B6" s="25" t="s">
        <v>125</v>
      </c>
      <c r="C6" s="25" t="s">
        <v>123</v>
      </c>
      <c r="D6" s="44" t="s">
        <v>124</v>
      </c>
      <c r="E6" s="25"/>
      <c r="F6" s="25"/>
      <c r="G6" s="25"/>
    </row>
    <row r="7" spans="1:7" x14ac:dyDescent="0.2">
      <c r="A7" s="21" t="s">
        <v>54</v>
      </c>
      <c r="B7" s="22" t="s">
        <v>55</v>
      </c>
      <c r="C7" s="22" t="s">
        <v>56</v>
      </c>
      <c r="D7" s="22" t="s">
        <v>57</v>
      </c>
      <c r="E7" s="22" t="s">
        <v>68</v>
      </c>
      <c r="F7" s="22" t="s">
        <v>69</v>
      </c>
      <c r="G7" s="22" t="s">
        <v>70</v>
      </c>
    </row>
    <row r="8" spans="1:7" ht="12.75" thickBot="1" x14ac:dyDescent="0.25">
      <c r="A8" s="23" t="s">
        <v>100</v>
      </c>
      <c r="B8" s="24"/>
      <c r="C8" s="25"/>
      <c r="D8" s="26"/>
      <c r="E8" s="25"/>
      <c r="F8" s="25"/>
      <c r="G8" s="25"/>
    </row>
    <row r="9" spans="1:7" x14ac:dyDescent="0.2">
      <c r="A9" s="27" t="s">
        <v>128</v>
      </c>
      <c r="B9" s="28"/>
      <c r="C9" s="29"/>
      <c r="D9" s="47"/>
      <c r="E9" s="49"/>
      <c r="F9" s="29"/>
      <c r="G9" s="29"/>
    </row>
    <row r="10" spans="1:7" x14ac:dyDescent="0.2">
      <c r="A10" s="27" t="s">
        <v>129</v>
      </c>
      <c r="B10" s="28"/>
      <c r="C10" s="29">
        <v>2</v>
      </c>
      <c r="D10" s="47">
        <v>600</v>
      </c>
      <c r="E10" s="49">
        <f t="shared" ref="E10:E12" si="0">+D10*C10</f>
        <v>1200</v>
      </c>
      <c r="F10" s="54">
        <f>+E10/E13</f>
        <v>7.2393822393822388E-2</v>
      </c>
      <c r="G10" s="54">
        <f>+E10/G12</f>
        <v>8.3798882681564241E-2</v>
      </c>
    </row>
    <row r="11" spans="1:7" x14ac:dyDescent="0.2">
      <c r="A11" s="27" t="s">
        <v>130</v>
      </c>
      <c r="B11" s="28"/>
      <c r="C11" s="29">
        <v>32</v>
      </c>
      <c r="D11" s="47">
        <v>410</v>
      </c>
      <c r="E11" s="49">
        <f t="shared" si="0"/>
        <v>13120</v>
      </c>
      <c r="F11" s="54">
        <f>+E11/E13</f>
        <v>0.79150579150579148</v>
      </c>
      <c r="G11" s="54">
        <f>+E11/G12</f>
        <v>0.91620111731843579</v>
      </c>
    </row>
    <row r="12" spans="1:7" x14ac:dyDescent="0.2">
      <c r="A12" s="27" t="s">
        <v>131</v>
      </c>
      <c r="B12" s="28"/>
      <c r="C12" s="29">
        <v>12</v>
      </c>
      <c r="D12" s="47">
        <v>188</v>
      </c>
      <c r="E12" s="49">
        <f t="shared" si="0"/>
        <v>2256</v>
      </c>
      <c r="F12" s="54">
        <f>+E12/E13</f>
        <v>0.13610038610038611</v>
      </c>
      <c r="G12" s="53">
        <f>+E11+E10</f>
        <v>14320</v>
      </c>
    </row>
    <row r="13" spans="1:7" x14ac:dyDescent="0.2">
      <c r="A13" s="18" t="s">
        <v>13</v>
      </c>
      <c r="B13" s="18"/>
      <c r="C13" s="18"/>
      <c r="D13" s="48"/>
      <c r="E13" s="50">
        <f>SUM(E9:E12)</f>
        <v>16576</v>
      </c>
      <c r="F13" s="18"/>
      <c r="G13" s="18"/>
    </row>
    <row r="14" spans="1:7" x14ac:dyDescent="0.2">
      <c r="A14" s="30" t="s">
        <v>12</v>
      </c>
      <c r="B14" s="30" t="s">
        <v>74</v>
      </c>
      <c r="C14" s="30" t="s">
        <v>72</v>
      </c>
      <c r="D14" s="30" t="s">
        <v>73</v>
      </c>
      <c r="E14" s="30" t="s">
        <v>132</v>
      </c>
      <c r="F14" s="18"/>
      <c r="G14" s="18"/>
    </row>
    <row r="15" spans="1:7" x14ac:dyDescent="0.2">
      <c r="A15" s="30"/>
      <c r="B15" s="30"/>
      <c r="C15" s="55">
        <f>+F11</f>
        <v>0.79150579150579148</v>
      </c>
      <c r="D15" s="55">
        <f>+F10</f>
        <v>7.2393822393822388E-2</v>
      </c>
      <c r="E15" s="55">
        <f>+F12</f>
        <v>0.13610038610038611</v>
      </c>
      <c r="F15" s="18"/>
      <c r="G15" s="18"/>
    </row>
    <row r="16" spans="1:7" x14ac:dyDescent="0.2">
      <c r="A16" s="30" t="s">
        <v>117</v>
      </c>
      <c r="B16" s="31">
        <v>46</v>
      </c>
      <c r="C16" s="31">
        <v>32</v>
      </c>
      <c r="D16" s="31">
        <v>2</v>
      </c>
      <c r="E16" s="31">
        <v>12</v>
      </c>
      <c r="F16" s="18"/>
      <c r="G16" s="18"/>
    </row>
    <row r="17" spans="1:7" x14ac:dyDescent="0.2">
      <c r="A17" s="32" t="s">
        <v>0</v>
      </c>
      <c r="B17" s="45">
        <v>9305000</v>
      </c>
      <c r="C17" s="33"/>
      <c r="D17" s="33"/>
      <c r="E17" s="33"/>
      <c r="F17" s="18"/>
      <c r="G17" s="18"/>
    </row>
    <row r="18" spans="1:7" x14ac:dyDescent="0.2">
      <c r="A18" s="32" t="s">
        <v>1</v>
      </c>
      <c r="B18" s="45">
        <v>673000</v>
      </c>
      <c r="C18" s="33"/>
      <c r="D18" s="33"/>
      <c r="E18" s="33"/>
      <c r="F18" s="18"/>
      <c r="G18" s="18"/>
    </row>
    <row r="19" spans="1:7" x14ac:dyDescent="0.2">
      <c r="A19" s="32" t="s">
        <v>2</v>
      </c>
      <c r="B19" s="45">
        <v>811000</v>
      </c>
      <c r="C19" s="33"/>
      <c r="D19" s="33"/>
      <c r="E19" s="33"/>
      <c r="F19" s="18"/>
      <c r="G19" s="18"/>
    </row>
    <row r="20" spans="1:7" x14ac:dyDescent="0.2">
      <c r="A20" s="32" t="s">
        <v>3</v>
      </c>
      <c r="B20" s="45">
        <v>953000</v>
      </c>
      <c r="C20" s="33"/>
      <c r="D20" s="33"/>
      <c r="E20" s="33"/>
      <c r="F20" s="18"/>
      <c r="G20" s="18"/>
    </row>
    <row r="21" spans="1:7" x14ac:dyDescent="0.2">
      <c r="A21" s="32" t="s">
        <v>120</v>
      </c>
      <c r="B21" s="45">
        <v>0</v>
      </c>
      <c r="C21" s="33"/>
      <c r="D21" s="33"/>
      <c r="E21" s="33"/>
      <c r="F21" s="18"/>
      <c r="G21" s="18"/>
    </row>
    <row r="22" spans="1:7" x14ac:dyDescent="0.2">
      <c r="A22" s="32" t="s">
        <v>4</v>
      </c>
      <c r="B22" s="45">
        <v>429000</v>
      </c>
      <c r="C22" s="33"/>
      <c r="D22" s="33"/>
      <c r="E22" s="33"/>
      <c r="F22" s="18"/>
      <c r="G22" s="18"/>
    </row>
    <row r="23" spans="1:7" x14ac:dyDescent="0.2">
      <c r="A23" s="32" t="s">
        <v>58</v>
      </c>
      <c r="B23" s="45">
        <v>0</v>
      </c>
      <c r="C23" s="33"/>
      <c r="D23" s="33"/>
      <c r="E23" s="33"/>
      <c r="F23" s="18"/>
      <c r="G23" s="18"/>
    </row>
    <row r="24" spans="1:7" x14ac:dyDescent="0.2">
      <c r="A24" s="32" t="s">
        <v>5</v>
      </c>
      <c r="B24" s="45">
        <v>0</v>
      </c>
      <c r="C24" s="33"/>
      <c r="D24" s="33"/>
      <c r="E24" s="33"/>
      <c r="F24" s="18"/>
      <c r="G24" s="18"/>
    </row>
    <row r="25" spans="1:7" x14ac:dyDescent="0.2">
      <c r="A25" s="32" t="s">
        <v>121</v>
      </c>
      <c r="B25" s="45">
        <v>0</v>
      </c>
      <c r="C25" s="33"/>
      <c r="D25" s="33"/>
      <c r="E25" s="33"/>
      <c r="F25" s="18"/>
      <c r="G25" s="18"/>
    </row>
    <row r="26" spans="1:7" x14ac:dyDescent="0.2">
      <c r="A26" s="32" t="s">
        <v>59</v>
      </c>
      <c r="B26" s="45">
        <v>0</v>
      </c>
      <c r="C26" s="33"/>
      <c r="D26" s="33"/>
      <c r="E26" s="33"/>
      <c r="F26" s="18"/>
      <c r="G26" s="18"/>
    </row>
    <row r="27" spans="1:7" x14ac:dyDescent="0.2">
      <c r="A27" s="30" t="s">
        <v>6</v>
      </c>
      <c r="B27" s="60">
        <f>SUM(B17:B26)</f>
        <v>12171000</v>
      </c>
      <c r="C27" s="60">
        <f>+B27*C15</f>
        <v>9633416.9884169884</v>
      </c>
      <c r="D27" s="60">
        <f>+B27*D15</f>
        <v>881105.21235521231</v>
      </c>
      <c r="E27" s="60">
        <f>+B27*E15</f>
        <v>1656477.7992277993</v>
      </c>
      <c r="F27" s="18"/>
      <c r="G27" s="18"/>
    </row>
    <row r="28" spans="1:7" ht="12.75" x14ac:dyDescent="0.2">
      <c r="A28" s="34" t="s">
        <v>7</v>
      </c>
      <c r="B28" s="57">
        <f>B27*0.1</f>
        <v>1217100</v>
      </c>
      <c r="C28" s="57">
        <f t="shared" ref="C28:D28" si="1">C27*0.1</f>
        <v>963341.69884169893</v>
      </c>
      <c r="D28" s="57">
        <f t="shared" si="1"/>
        <v>88110.521235521242</v>
      </c>
      <c r="E28" s="57">
        <f t="shared" ref="E28" si="2">E27*0.1</f>
        <v>165647.77992277994</v>
      </c>
      <c r="F28" s="17"/>
      <c r="G28" s="17"/>
    </row>
    <row r="29" spans="1:7" ht="12.75" x14ac:dyDescent="0.2">
      <c r="A29" s="34" t="s">
        <v>8</v>
      </c>
      <c r="B29" s="57">
        <f>(B27+0)*0.12</f>
        <v>1460520</v>
      </c>
      <c r="C29" s="57">
        <f>(C27+0)*0.12</f>
        <v>1156010.0386100386</v>
      </c>
      <c r="D29" s="57">
        <f>(D27+0)*0.12</f>
        <v>105732.62548262547</v>
      </c>
      <c r="E29" s="57">
        <f>(E27+0)*0.12</f>
        <v>198777.33590733592</v>
      </c>
      <c r="F29" s="17"/>
      <c r="G29" s="17"/>
    </row>
    <row r="30" spans="1:7" ht="12.75" x14ac:dyDescent="0.2">
      <c r="A30" s="34" t="s">
        <v>9</v>
      </c>
      <c r="B30" s="57">
        <f>B27*0.02</f>
        <v>243420</v>
      </c>
      <c r="C30" s="57">
        <f>C27*0.02</f>
        <v>192668.33976833976</v>
      </c>
      <c r="D30" s="57">
        <f>D27*0.02</f>
        <v>17622.104247104246</v>
      </c>
      <c r="E30" s="57">
        <f>E27*0.02</f>
        <v>33129.555984555984</v>
      </c>
      <c r="F30" s="17"/>
      <c r="G30" s="17"/>
    </row>
    <row r="31" spans="1:7" ht="12.75" x14ac:dyDescent="0.2">
      <c r="A31" s="34" t="s">
        <v>10</v>
      </c>
      <c r="B31" s="57">
        <f>(B30+B29+B28+B27)*0.17</f>
        <v>2565646.8000000003</v>
      </c>
      <c r="C31" s="57">
        <f t="shared" ref="C31:D31" si="3">(C30+C29+C28+C27)*0.17</f>
        <v>2030724.3011583013</v>
      </c>
      <c r="D31" s="57">
        <f t="shared" si="3"/>
        <v>185736.97876447876</v>
      </c>
      <c r="E31" s="57">
        <f t="shared" ref="E31" si="4">(E30+E29+E28+E27)*0.17</f>
        <v>349185.52007722011</v>
      </c>
      <c r="F31" s="17"/>
      <c r="G31" s="17"/>
    </row>
    <row r="32" spans="1:7" ht="12.75" x14ac:dyDescent="0.2">
      <c r="A32" s="36" t="s">
        <v>6</v>
      </c>
      <c r="B32" s="59">
        <f>B31+B30+B29+B28+B27</f>
        <v>17657686.800000001</v>
      </c>
      <c r="C32" s="59">
        <f>C31+C30+C29+C28+C27</f>
        <v>13976161.366795367</v>
      </c>
      <c r="D32" s="59">
        <f t="shared" ref="D32" si="5">D31+D30+D29+D28+D27</f>
        <v>1278307.442084942</v>
      </c>
      <c r="E32" s="59">
        <f t="shared" ref="E32" si="6">E31+E30+E29+E28+E27</f>
        <v>2403217.9911196912</v>
      </c>
      <c r="F32" s="17"/>
      <c r="G32" s="17"/>
    </row>
    <row r="33" spans="1:7" ht="12.75" x14ac:dyDescent="0.2">
      <c r="A33" s="36" t="s">
        <v>11</v>
      </c>
      <c r="B33" s="59">
        <f>B32/B16</f>
        <v>383862.75652173912</v>
      </c>
      <c r="C33" s="59">
        <f t="shared" ref="C33:E33" si="7">C32/C16</f>
        <v>436755.04271235521</v>
      </c>
      <c r="D33" s="59">
        <f t="shared" si="7"/>
        <v>639153.72104247101</v>
      </c>
      <c r="E33" s="59">
        <f t="shared" si="7"/>
        <v>200268.16592664094</v>
      </c>
      <c r="F33" s="17"/>
      <c r="G33" s="17"/>
    </row>
    <row r="34" spans="1:7" ht="12.75" x14ac:dyDescent="0.2">
      <c r="A34" s="17" t="s">
        <v>101</v>
      </c>
      <c r="B34" s="17"/>
      <c r="C34" s="17"/>
      <c r="D34" s="17"/>
      <c r="E34" s="17"/>
      <c r="F34" s="17"/>
      <c r="G34" s="17"/>
    </row>
    <row r="35" spans="1:7" ht="12.75" x14ac:dyDescent="0.2">
      <c r="A35" s="36" t="s">
        <v>12</v>
      </c>
      <c r="B35" s="38">
        <f>B16</f>
        <v>46</v>
      </c>
      <c r="C35" s="38"/>
      <c r="D35" s="38"/>
      <c r="E35" s="38">
        <v>12</v>
      </c>
      <c r="F35" s="17"/>
      <c r="G35" s="17"/>
    </row>
    <row r="36" spans="1:7" ht="12.75" x14ac:dyDescent="0.2">
      <c r="A36" s="34" t="s">
        <v>60</v>
      </c>
      <c r="B36" s="39"/>
      <c r="C36" s="39"/>
      <c r="D36" s="39"/>
      <c r="E36" s="39"/>
      <c r="F36" s="17"/>
      <c r="G36" s="17"/>
    </row>
    <row r="37" spans="1:7" ht="12.75" x14ac:dyDescent="0.2">
      <c r="A37" s="34" t="s">
        <v>61</v>
      </c>
      <c r="B37" s="39"/>
      <c r="C37" s="39"/>
      <c r="D37" s="39"/>
      <c r="E37" s="39"/>
      <c r="F37" s="17"/>
      <c r="G37" s="17"/>
    </row>
    <row r="38" spans="1:7" ht="12.75" x14ac:dyDescent="0.2">
      <c r="A38" s="34" t="s">
        <v>62</v>
      </c>
      <c r="B38" s="39"/>
      <c r="C38" s="39"/>
      <c r="D38" s="39"/>
      <c r="E38" s="39"/>
      <c r="F38" s="17"/>
      <c r="G38" s="17"/>
    </row>
    <row r="39" spans="1:7" ht="12.75" x14ac:dyDescent="0.2">
      <c r="A39" s="34" t="s">
        <v>63</v>
      </c>
      <c r="B39" s="39"/>
      <c r="C39" s="39"/>
      <c r="D39" s="39"/>
      <c r="E39" s="39"/>
      <c r="F39" s="17"/>
      <c r="G39" s="17"/>
    </row>
    <row r="40" spans="1:7" ht="12.75" x14ac:dyDescent="0.2">
      <c r="A40" s="36" t="s">
        <v>6</v>
      </c>
      <c r="B40" s="36">
        <f>SUM(B36:B39)</f>
        <v>0</v>
      </c>
      <c r="C40" s="36">
        <f t="shared" ref="C40:E40" si="8">SUM(C36:C39)</f>
        <v>0</v>
      </c>
      <c r="D40" s="36">
        <f t="shared" si="8"/>
        <v>0</v>
      </c>
      <c r="E40" s="36">
        <f t="shared" si="8"/>
        <v>0</v>
      </c>
      <c r="F40" s="17"/>
      <c r="G40" s="17"/>
    </row>
    <row r="41" spans="1:7" ht="12.75" x14ac:dyDescent="0.2">
      <c r="A41" s="34" t="s">
        <v>7</v>
      </c>
      <c r="B41" s="35">
        <f>B40*10%</f>
        <v>0</v>
      </c>
      <c r="C41" s="35">
        <f t="shared" ref="C41:E41" si="9">C40*10%</f>
        <v>0</v>
      </c>
      <c r="D41" s="35">
        <f t="shared" si="9"/>
        <v>0</v>
      </c>
      <c r="E41" s="35">
        <f t="shared" si="9"/>
        <v>0</v>
      </c>
      <c r="F41" s="17"/>
      <c r="G41" s="17"/>
    </row>
    <row r="42" spans="1:7" ht="12.75" x14ac:dyDescent="0.2">
      <c r="A42" s="34" t="s">
        <v>8</v>
      </c>
      <c r="B42" s="35">
        <f>(0+B40)*12%</f>
        <v>0</v>
      </c>
      <c r="C42" s="35">
        <f>(0+C40)*12%</f>
        <v>0</v>
      </c>
      <c r="D42" s="35">
        <f>(0+D40)*12%</f>
        <v>0</v>
      </c>
      <c r="E42" s="35">
        <f>(0+E40)*12%</f>
        <v>0</v>
      </c>
      <c r="F42" s="17"/>
      <c r="G42" s="17"/>
    </row>
    <row r="43" spans="1:7" ht="12.75" x14ac:dyDescent="0.2">
      <c r="A43" s="34" t="s">
        <v>9</v>
      </c>
      <c r="B43" s="35"/>
      <c r="C43" s="35"/>
      <c r="D43" s="35"/>
      <c r="E43" s="35"/>
      <c r="F43" s="17"/>
      <c r="G43" s="17"/>
    </row>
    <row r="44" spans="1:7" ht="12.75" x14ac:dyDescent="0.2">
      <c r="A44" s="34" t="s">
        <v>10</v>
      </c>
      <c r="B44" s="35">
        <f>(B42+B41+B40)*17%</f>
        <v>0</v>
      </c>
      <c r="C44" s="35">
        <f t="shared" ref="C44:D44" si="10">(C42+C41+C40)*17%</f>
        <v>0</v>
      </c>
      <c r="D44" s="35">
        <f t="shared" si="10"/>
        <v>0</v>
      </c>
      <c r="E44" s="35">
        <f>(E42+E41+E40)*17%</f>
        <v>0</v>
      </c>
      <c r="F44" s="17"/>
      <c r="G44" s="17"/>
    </row>
    <row r="45" spans="1:7" ht="12.75" x14ac:dyDescent="0.2">
      <c r="A45" s="36" t="s">
        <v>6</v>
      </c>
      <c r="B45" s="37">
        <f>SUM(B40:B44)</f>
        <v>0</v>
      </c>
      <c r="C45" s="37">
        <f t="shared" ref="C45:E45" si="11">SUM(C40:C44)</f>
        <v>0</v>
      </c>
      <c r="D45" s="37">
        <f t="shared" si="11"/>
        <v>0</v>
      </c>
      <c r="E45" s="37">
        <f t="shared" si="11"/>
        <v>0</v>
      </c>
      <c r="F45" s="17"/>
      <c r="G45" s="17"/>
    </row>
    <row r="46" spans="1:7" ht="12.75" x14ac:dyDescent="0.2">
      <c r="A46" s="36" t="s">
        <v>11</v>
      </c>
      <c r="B46" s="37">
        <f>B45/B35</f>
        <v>0</v>
      </c>
      <c r="C46" s="37" t="e">
        <f t="shared" ref="C46:D46" si="12">C45/C35</f>
        <v>#DIV/0!</v>
      </c>
      <c r="D46" s="37" t="e">
        <f t="shared" si="12"/>
        <v>#DIV/0!</v>
      </c>
      <c r="E46" s="37">
        <f t="shared" ref="E46" si="13">E45/E35</f>
        <v>0</v>
      </c>
      <c r="F46" s="17"/>
      <c r="G46" s="17"/>
    </row>
    <row r="47" spans="1:7" ht="12.75" x14ac:dyDescent="0.2">
      <c r="A47" s="17" t="s">
        <v>102</v>
      </c>
      <c r="B47" s="17"/>
      <c r="C47" s="18"/>
      <c r="D47" s="18"/>
      <c r="E47" s="17"/>
      <c r="F47" s="17"/>
      <c r="G47" s="17"/>
    </row>
    <row r="48" spans="1:7" ht="12.75" x14ac:dyDescent="0.2">
      <c r="A48" s="17"/>
      <c r="B48" s="17"/>
      <c r="C48" s="18">
        <v>0.92</v>
      </c>
      <c r="D48" s="18">
        <v>0.08</v>
      </c>
      <c r="E48" s="17"/>
      <c r="F48" s="17"/>
      <c r="G48" s="17"/>
    </row>
    <row r="49" spans="1:7" ht="12.75" x14ac:dyDescent="0.2">
      <c r="A49" s="36" t="s">
        <v>12</v>
      </c>
      <c r="B49" s="38">
        <f>B16</f>
        <v>46</v>
      </c>
      <c r="C49" s="38">
        <v>32</v>
      </c>
      <c r="D49" s="38">
        <v>2</v>
      </c>
      <c r="E49" s="38">
        <v>12</v>
      </c>
      <c r="F49" s="17"/>
      <c r="G49" s="17"/>
    </row>
    <row r="50" spans="1:7" ht="12.75" x14ac:dyDescent="0.2">
      <c r="A50" s="34" t="s">
        <v>64</v>
      </c>
      <c r="B50" s="46">
        <v>4158940</v>
      </c>
      <c r="C50" s="38"/>
      <c r="D50" s="38"/>
      <c r="E50" s="38"/>
      <c r="F50" s="17"/>
      <c r="G50" s="17"/>
    </row>
    <row r="51" spans="1:7" ht="12.75" x14ac:dyDescent="0.2">
      <c r="A51" s="34" t="s">
        <v>65</v>
      </c>
      <c r="B51" s="38"/>
      <c r="C51" s="38"/>
      <c r="D51" s="38"/>
      <c r="E51" s="38"/>
      <c r="F51" s="17"/>
      <c r="G51" s="17"/>
    </row>
    <row r="52" spans="1:7" ht="12.75" x14ac:dyDescent="0.2">
      <c r="A52" s="34" t="s">
        <v>105</v>
      </c>
      <c r="B52" s="38"/>
      <c r="C52" s="38"/>
      <c r="D52" s="38"/>
      <c r="E52" s="38"/>
      <c r="F52" s="17"/>
      <c r="G52" s="17"/>
    </row>
    <row r="53" spans="1:7" ht="12.75" x14ac:dyDescent="0.2">
      <c r="A53" s="36" t="s">
        <v>6</v>
      </c>
      <c r="B53" s="59">
        <f>SUM(B50:B52)</f>
        <v>4158940</v>
      </c>
      <c r="C53" s="59">
        <f>+B53*C48</f>
        <v>3826224.8000000003</v>
      </c>
      <c r="D53" s="59">
        <f>+B53*D48</f>
        <v>332715.2</v>
      </c>
      <c r="E53" s="51">
        <f t="shared" ref="E53" si="14">SUM(E50:E52)</f>
        <v>0</v>
      </c>
      <c r="F53" s="17"/>
      <c r="G53" s="17"/>
    </row>
    <row r="54" spans="1:7" ht="12.75" x14ac:dyDescent="0.2">
      <c r="A54" s="34" t="s">
        <v>7</v>
      </c>
      <c r="B54" s="57">
        <f>B53*0.1</f>
        <v>415894</v>
      </c>
      <c r="C54" s="57">
        <f t="shared" ref="C54:E54" si="15">C53*0.1</f>
        <v>382622.48000000004</v>
      </c>
      <c r="D54" s="57">
        <f t="shared" si="15"/>
        <v>33271.520000000004</v>
      </c>
      <c r="E54" s="52">
        <f t="shared" si="15"/>
        <v>0</v>
      </c>
      <c r="F54" s="17"/>
      <c r="G54" s="17"/>
    </row>
    <row r="55" spans="1:7" ht="12.75" x14ac:dyDescent="0.2">
      <c r="A55" s="34" t="s">
        <v>8</v>
      </c>
      <c r="B55" s="57">
        <f>(B53+0)*0.12</f>
        <v>499072.8</v>
      </c>
      <c r="C55" s="57">
        <f>(C53+0)*0.12</f>
        <v>459146.97600000002</v>
      </c>
      <c r="D55" s="57">
        <f>(D53+0)*0.12</f>
        <v>39925.824000000001</v>
      </c>
      <c r="E55" s="52">
        <f>(E53+0)*0.12</f>
        <v>0</v>
      </c>
      <c r="F55" s="17"/>
      <c r="G55" s="17"/>
    </row>
    <row r="56" spans="1:7" ht="12.75" x14ac:dyDescent="0.2">
      <c r="A56" s="34" t="s">
        <v>10</v>
      </c>
      <c r="B56" s="57">
        <f>(B55+B54+B53)*0.17</f>
        <v>862564.15600000008</v>
      </c>
      <c r="C56" s="57">
        <f t="shared" ref="C56:E56" si="16">(C55+C54+C53)*0.17</f>
        <v>793559.02352000005</v>
      </c>
      <c r="D56" s="57">
        <f t="shared" si="16"/>
        <v>69005.13248</v>
      </c>
      <c r="E56" s="52">
        <f t="shared" si="16"/>
        <v>0</v>
      </c>
      <c r="F56" s="17"/>
      <c r="G56" s="17"/>
    </row>
    <row r="57" spans="1:7" ht="12.75" x14ac:dyDescent="0.2">
      <c r="A57" s="36" t="s">
        <v>6</v>
      </c>
      <c r="B57" s="59">
        <f>SUM(B53:B56)</f>
        <v>5936470.9560000002</v>
      </c>
      <c r="C57" s="59">
        <f t="shared" ref="C57:E57" si="17">SUM(C53:C56)</f>
        <v>5461553.2795200003</v>
      </c>
      <c r="D57" s="59">
        <f t="shared" si="17"/>
        <v>474917.67648000002</v>
      </c>
      <c r="E57" s="51">
        <f t="shared" si="17"/>
        <v>0</v>
      </c>
      <c r="F57" s="17"/>
      <c r="G57" s="17"/>
    </row>
    <row r="58" spans="1:7" ht="12.75" x14ac:dyDescent="0.2">
      <c r="A58" s="36" t="s">
        <v>11</v>
      </c>
      <c r="B58" s="59">
        <f>B57/B49</f>
        <v>129053.71643478262</v>
      </c>
      <c r="C58" s="59">
        <f t="shared" ref="C58:E58" si="18">C57/C49</f>
        <v>170673.53998500001</v>
      </c>
      <c r="D58" s="59">
        <f t="shared" si="18"/>
        <v>237458.83824000001</v>
      </c>
      <c r="E58" s="51">
        <f t="shared" si="18"/>
        <v>0</v>
      </c>
      <c r="F58" s="17"/>
      <c r="G58" s="17"/>
    </row>
    <row r="59" spans="1:7" ht="12.75" x14ac:dyDescent="0.2">
      <c r="A59" s="56" t="s">
        <v>110</v>
      </c>
      <c r="B59" s="56"/>
      <c r="C59" s="56"/>
      <c r="D59" s="56"/>
      <c r="E59" s="56"/>
      <c r="F59" s="56"/>
      <c r="G59" s="56"/>
    </row>
    <row r="60" spans="1:7" ht="12.75" x14ac:dyDescent="0.2">
      <c r="A60" s="36" t="s">
        <v>12</v>
      </c>
      <c r="B60" s="38">
        <v>46</v>
      </c>
      <c r="C60" s="62" t="s">
        <v>133</v>
      </c>
      <c r="D60" s="38">
        <v>2</v>
      </c>
      <c r="E60" s="62" t="s">
        <v>134</v>
      </c>
      <c r="F60" s="17"/>
      <c r="G60" s="17"/>
    </row>
    <row r="61" spans="1:7" ht="12.75" x14ac:dyDescent="0.2">
      <c r="A61" s="36" t="s">
        <v>71</v>
      </c>
      <c r="B61" s="36" t="s">
        <v>14</v>
      </c>
      <c r="C61" s="36" t="s">
        <v>14</v>
      </c>
      <c r="D61" s="36" t="s">
        <v>14</v>
      </c>
      <c r="E61" s="36" t="s">
        <v>14</v>
      </c>
      <c r="F61" s="17"/>
      <c r="G61" s="17"/>
    </row>
    <row r="62" spans="1:7" ht="12.75" x14ac:dyDescent="0.2">
      <c r="A62" s="39" t="s">
        <v>15</v>
      </c>
      <c r="B62" s="57">
        <f>B33</f>
        <v>383862.75652173912</v>
      </c>
      <c r="C62" s="57">
        <f>C33</f>
        <v>436755.04271235521</v>
      </c>
      <c r="D62" s="57">
        <f>D33</f>
        <v>639153.72104247101</v>
      </c>
      <c r="E62" s="57">
        <f>E33</f>
        <v>200268.16592664094</v>
      </c>
      <c r="F62" s="17"/>
      <c r="G62" s="17"/>
    </row>
    <row r="63" spans="1:7" ht="12.75" x14ac:dyDescent="0.2">
      <c r="A63" s="39" t="s">
        <v>16</v>
      </c>
      <c r="B63" s="57"/>
      <c r="C63" s="57"/>
      <c r="D63" s="57"/>
      <c r="E63" s="57"/>
      <c r="F63" s="17"/>
      <c r="G63" s="17"/>
    </row>
    <row r="64" spans="1:7" ht="12.75" x14ac:dyDescent="0.2">
      <c r="A64" s="39" t="s">
        <v>17</v>
      </c>
      <c r="B64" s="57">
        <f>B63+B62</f>
        <v>383862.75652173912</v>
      </c>
      <c r="C64" s="57">
        <f>+C62</f>
        <v>436755.04271235521</v>
      </c>
      <c r="D64" s="57">
        <f>+D62</f>
        <v>639153.72104247101</v>
      </c>
      <c r="E64" s="57">
        <f>+E62</f>
        <v>200268.16592664094</v>
      </c>
      <c r="F64" s="17"/>
      <c r="G64" s="17"/>
    </row>
    <row r="65" spans="1:7" ht="12.75" x14ac:dyDescent="0.2">
      <c r="A65" s="39" t="s">
        <v>18</v>
      </c>
      <c r="B65" s="58">
        <v>114000</v>
      </c>
      <c r="C65" s="58">
        <v>121000</v>
      </c>
      <c r="D65" s="58">
        <v>121000</v>
      </c>
      <c r="E65" s="58">
        <f>+E64/2</f>
        <v>100134.08296332047</v>
      </c>
      <c r="F65" s="17"/>
      <c r="G65" s="17"/>
    </row>
    <row r="66" spans="1:7" ht="12.75" x14ac:dyDescent="0.2">
      <c r="A66" s="39" t="s">
        <v>66</v>
      </c>
      <c r="B66" s="57">
        <f>B64-B65</f>
        <v>269862.75652173912</v>
      </c>
      <c r="C66" s="57">
        <f>C64-C65</f>
        <v>315755.04271235521</v>
      </c>
      <c r="D66" s="57">
        <f>D64-D65</f>
        <v>518153.72104247101</v>
      </c>
      <c r="E66" s="57">
        <f>E64-E65</f>
        <v>100134.08296332047</v>
      </c>
      <c r="F66" s="17"/>
      <c r="G66" s="17"/>
    </row>
    <row r="67" spans="1:7" ht="12.75" x14ac:dyDescent="0.2">
      <c r="A67" s="39" t="s">
        <v>19</v>
      </c>
      <c r="B67" s="57">
        <f>B58</f>
        <v>129053.71643478262</v>
      </c>
      <c r="C67" s="57">
        <f>C58</f>
        <v>170673.53998500001</v>
      </c>
      <c r="D67" s="57">
        <f>D58</f>
        <v>237458.83824000001</v>
      </c>
      <c r="E67" s="57">
        <f>E58</f>
        <v>0</v>
      </c>
      <c r="F67" s="17"/>
      <c r="G67" s="17"/>
    </row>
    <row r="68" spans="1:7" ht="12.75" x14ac:dyDescent="0.2">
      <c r="A68" s="36" t="s">
        <v>67</v>
      </c>
      <c r="B68" s="59">
        <f>SUM(B66:B67)</f>
        <v>398916.47295652173</v>
      </c>
      <c r="C68" s="61">
        <f t="shared" ref="C68:D68" si="19">SUM(C66:C67)</f>
        <v>486428.58269735519</v>
      </c>
      <c r="D68" s="59">
        <f t="shared" si="19"/>
        <v>755612.55928247096</v>
      </c>
      <c r="E68" s="61">
        <f>SUM(E66:E67)</f>
        <v>100134.08296332047</v>
      </c>
      <c r="F68" s="3"/>
      <c r="G68" s="3"/>
    </row>
    <row r="69" spans="1:7" ht="12.75" x14ac:dyDescent="0.2">
      <c r="A69" s="3"/>
      <c r="B69" s="3"/>
      <c r="C69" s="3"/>
      <c r="D69" s="3"/>
      <c r="E69" s="3"/>
      <c r="F69" s="3"/>
      <c r="G69" s="3"/>
    </row>
    <row r="70" spans="1:7" ht="12.75" x14ac:dyDescent="0.2">
      <c r="A70" s="3" t="s">
        <v>81</v>
      </c>
      <c r="B70" s="3"/>
      <c r="C70" s="3"/>
      <c r="D70" s="3"/>
      <c r="E70" s="3"/>
      <c r="F70" s="3"/>
      <c r="G70" s="3"/>
    </row>
    <row r="71" spans="1:7" ht="12.75" x14ac:dyDescent="0.2">
      <c r="A71" s="3" t="s">
        <v>114</v>
      </c>
      <c r="B71" s="3"/>
      <c r="C71" s="3"/>
      <c r="D71" s="3"/>
      <c r="E71" s="3"/>
      <c r="F71" s="3"/>
      <c r="G71" s="3"/>
    </row>
    <row r="72" spans="1:7" ht="12.75" x14ac:dyDescent="0.2">
      <c r="A72" s="3" t="s">
        <v>104</v>
      </c>
      <c r="B72" s="3"/>
      <c r="C72" s="3"/>
      <c r="D72" s="3"/>
      <c r="E72" s="3"/>
      <c r="F72" s="3"/>
      <c r="G72" s="3"/>
    </row>
    <row r="73" spans="1:7" ht="12.75" x14ac:dyDescent="0.2">
      <c r="A73" s="3" t="s">
        <v>112</v>
      </c>
      <c r="B73" s="3"/>
      <c r="C73" s="3"/>
      <c r="D73" s="3"/>
      <c r="E73" s="3"/>
      <c r="F73" s="3"/>
      <c r="G73" s="3"/>
    </row>
    <row r="74" spans="1:7" ht="12.75" x14ac:dyDescent="0.2">
      <c r="A74" s="3" t="s">
        <v>106</v>
      </c>
      <c r="B74" s="3"/>
      <c r="C74" s="3"/>
      <c r="D74" s="3"/>
      <c r="E74" s="3"/>
      <c r="F74" s="3"/>
      <c r="G74" s="3"/>
    </row>
    <row r="75" spans="1:7" ht="12.75" x14ac:dyDescent="0.2">
      <c r="A75" s="3" t="s">
        <v>103</v>
      </c>
      <c r="B75" s="3"/>
      <c r="C75" s="3"/>
      <c r="D75" s="3"/>
      <c r="E75" s="3"/>
      <c r="F75" s="3"/>
      <c r="G75" s="3"/>
    </row>
    <row r="76" spans="1:7" ht="12.75" x14ac:dyDescent="0.2">
      <c r="A76" s="3" t="s">
        <v>113</v>
      </c>
      <c r="B76" s="3"/>
      <c r="C76" s="3"/>
      <c r="D76" s="3"/>
      <c r="E76" s="3"/>
      <c r="F76" s="3"/>
      <c r="G76" s="3"/>
    </row>
    <row r="77" spans="1:7" ht="12.75" x14ac:dyDescent="0.2">
      <c r="A77" s="3"/>
      <c r="B77" s="5" t="s">
        <v>23</v>
      </c>
      <c r="C77" s="3"/>
      <c r="D77" s="3"/>
      <c r="E77" s="3"/>
      <c r="F77" s="3"/>
      <c r="G77" s="3"/>
    </row>
    <row r="78" spans="1:7" ht="12.75" x14ac:dyDescent="0.2">
      <c r="A78" s="3"/>
      <c r="B78" s="3"/>
      <c r="C78" s="3"/>
      <c r="D78" s="3"/>
      <c r="E78" s="3" t="s">
        <v>24</v>
      </c>
      <c r="F78" s="3"/>
      <c r="G78" s="3"/>
    </row>
    <row r="79" spans="1:7" ht="12.75" x14ac:dyDescent="0.2">
      <c r="A79" s="3"/>
      <c r="B79" s="3"/>
      <c r="C79" s="3"/>
      <c r="D79" s="3"/>
      <c r="E79" s="3" t="s">
        <v>25</v>
      </c>
      <c r="F79" s="3"/>
      <c r="G79" s="3"/>
    </row>
    <row r="80" spans="1:7" ht="12.75" x14ac:dyDescent="0.2">
      <c r="A80" s="3" t="s">
        <v>20</v>
      </c>
      <c r="B80" s="3"/>
      <c r="C80" s="3"/>
      <c r="D80" s="3"/>
      <c r="E80" s="3"/>
      <c r="F80" s="3"/>
      <c r="G80" s="3"/>
    </row>
    <row r="81" spans="1:7" ht="12.75" x14ac:dyDescent="0.2">
      <c r="A81" s="17" t="s">
        <v>21</v>
      </c>
      <c r="B81" s="17"/>
      <c r="C81" s="17"/>
      <c r="D81" s="3"/>
      <c r="E81" s="3"/>
      <c r="F81" s="3"/>
      <c r="G81" s="3"/>
    </row>
    <row r="82" spans="1:7" ht="12.75" x14ac:dyDescent="0.2">
      <c r="A82" s="17" t="s">
        <v>22</v>
      </c>
      <c r="B82" s="17"/>
      <c r="C82" s="17"/>
      <c r="D82" s="3"/>
      <c r="E82" s="3"/>
      <c r="F82" s="3"/>
      <c r="G82" s="3"/>
    </row>
    <row r="83" spans="1:7" ht="12.75" x14ac:dyDescent="0.2">
      <c r="A83" s="17" t="s">
        <v>116</v>
      </c>
      <c r="B83" s="17"/>
      <c r="C83" s="17"/>
      <c r="D83" s="3"/>
      <c r="E83" s="3"/>
      <c r="F83" s="3"/>
      <c r="G83" s="3"/>
    </row>
    <row r="84" spans="1:7" ht="12.75" x14ac:dyDescent="0.2">
      <c r="A84" s="17" t="s">
        <v>119</v>
      </c>
      <c r="B84" s="17"/>
      <c r="C84" s="17"/>
      <c r="D84" s="3"/>
      <c r="E84" s="3"/>
      <c r="F84" s="3"/>
      <c r="G84" s="3"/>
    </row>
    <row r="85" spans="1:7" ht="12.75" x14ac:dyDescent="0.2">
      <c r="A85" s="17" t="s">
        <v>109</v>
      </c>
      <c r="B85" s="17"/>
      <c r="C85" s="17"/>
      <c r="D85" s="3"/>
      <c r="E85" s="3"/>
    </row>
    <row r="86" spans="1:7" x14ac:dyDescent="0.2">
      <c r="A86" s="18" t="s">
        <v>107</v>
      </c>
      <c r="B86" s="18"/>
      <c r="C86" s="19"/>
    </row>
    <row r="87" spans="1:7" x14ac:dyDescent="0.2">
      <c r="A87" s="18" t="s">
        <v>108</v>
      </c>
      <c r="B87" s="18"/>
      <c r="C87" s="18"/>
    </row>
  </sheetData>
  <mergeCells count="1">
    <mergeCell ref="A59:G59"/>
  </mergeCells>
  <pageMargins left="0.25" right="0.25" top="1.0625" bottom="0.57291666666666663" header="0.3" footer="0.3"/>
  <pageSetup paperSize="9" orientation="portrait" r:id="rId1"/>
  <headerFooter>
    <oddHeader>&amp;L&amp;"David,מודגש"&amp;10ירושלים; &amp;D
א' סיון  תשע"ח
סימוכין: 1505181151&amp;C&amp;"David,מודגש"&amp;10מדינת ישראל
משרד הבינוי והשיכון‏
מנהל הכפר, אגף תכנון ובצוע&amp;R&amp;G
&amp;8בס"ד</oddHeader>
    <oddFooter>&amp;C&amp;8__________________________________________________________________________________________________________
כתובת: קרית הממשלה, מזרח ירושלים, ת"ד 18110; מיקוד  91180, טל:  02-5847758 ;פקס: 02-5847330;avrilivni1@gmail.com;0506247758; Avril@moch.gov.il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47"/>
  <sheetViews>
    <sheetView rightToLeft="1" view="pageLayout" topLeftCell="A19" zoomScaleNormal="100" workbookViewId="0">
      <selection activeCell="E30" sqref="E30"/>
    </sheetView>
  </sheetViews>
  <sheetFormatPr defaultColWidth="7.125" defaultRowHeight="14.25" x14ac:dyDescent="0.2"/>
  <cols>
    <col min="1" max="4" width="6.75" customWidth="1"/>
    <col min="5" max="13" width="6.75" style="2" customWidth="1"/>
  </cols>
  <sheetData>
    <row r="2" spans="2:13" s="3" customFormat="1" ht="12.75" x14ac:dyDescent="0.2">
      <c r="B2" s="3" t="s">
        <v>26</v>
      </c>
      <c r="C2" s="7">
        <v>42430</v>
      </c>
      <c r="D2" s="8"/>
      <c r="E2" s="8"/>
      <c r="F2" s="8"/>
      <c r="G2" s="8"/>
      <c r="H2" s="8"/>
      <c r="I2" s="8"/>
      <c r="J2" s="8"/>
      <c r="K2" s="8"/>
      <c r="L2" s="8"/>
    </row>
    <row r="3" spans="2:13" s="3" customFormat="1" ht="12.75" x14ac:dyDescent="0.2">
      <c r="D3" s="8"/>
      <c r="E3" s="8"/>
      <c r="F3" s="8"/>
      <c r="G3" s="8"/>
      <c r="H3" s="8"/>
      <c r="I3" s="8"/>
      <c r="J3" s="8"/>
      <c r="K3" s="8"/>
      <c r="L3" s="8"/>
    </row>
    <row r="4" spans="2:13" s="11" customFormat="1" ht="12.75" x14ac:dyDescent="0.2">
      <c r="B4" s="12" t="s">
        <v>27</v>
      </c>
      <c r="C4" s="13" t="s">
        <v>82</v>
      </c>
      <c r="D4" s="13" t="s">
        <v>28</v>
      </c>
      <c r="E4" s="13" t="s">
        <v>29</v>
      </c>
      <c r="F4" s="13" t="s">
        <v>30</v>
      </c>
      <c r="G4" s="13" t="s">
        <v>31</v>
      </c>
      <c r="H4" s="13" t="s">
        <v>32</v>
      </c>
      <c r="I4" s="13" t="s">
        <v>33</v>
      </c>
      <c r="J4" s="13" t="s">
        <v>83</v>
      </c>
      <c r="K4" s="13" t="s">
        <v>84</v>
      </c>
      <c r="L4" s="13" t="s">
        <v>85</v>
      </c>
      <c r="M4" s="12"/>
    </row>
    <row r="5" spans="2:13" s="3" customFormat="1" ht="12.75" x14ac:dyDescent="0.2">
      <c r="B5" s="4" t="s">
        <v>75</v>
      </c>
      <c r="C5" s="9" t="s">
        <v>86</v>
      </c>
      <c r="D5" s="9" t="s">
        <v>76</v>
      </c>
      <c r="E5" s="9" t="s">
        <v>77</v>
      </c>
      <c r="F5" s="9" t="s">
        <v>78</v>
      </c>
      <c r="G5" s="9" t="s">
        <v>79</v>
      </c>
      <c r="H5" s="9" t="s">
        <v>79</v>
      </c>
      <c r="I5" s="9" t="s">
        <v>80</v>
      </c>
      <c r="J5" s="9" t="s">
        <v>80</v>
      </c>
      <c r="K5" s="9" t="s">
        <v>87</v>
      </c>
      <c r="L5" s="9" t="s">
        <v>87</v>
      </c>
      <c r="M5" s="4"/>
    </row>
    <row r="6" spans="2:13" s="3" customFormat="1" ht="12.75" x14ac:dyDescent="0.2">
      <c r="B6" s="4" t="s">
        <v>34</v>
      </c>
      <c r="C6" s="4"/>
      <c r="D6" s="10"/>
      <c r="E6" s="10"/>
      <c r="F6" s="10"/>
      <c r="G6" s="10"/>
      <c r="H6" s="10"/>
      <c r="I6" s="10"/>
      <c r="J6" s="10"/>
      <c r="K6" s="10"/>
      <c r="L6" s="10"/>
      <c r="M6" s="4"/>
    </row>
    <row r="7" spans="2:13" s="3" customFormat="1" ht="12.75" x14ac:dyDescent="0.2">
      <c r="B7" s="4" t="s">
        <v>35</v>
      </c>
      <c r="C7" s="4">
        <v>96000</v>
      </c>
      <c r="D7" s="10">
        <f>C7*1.00279066666666</f>
        <v>96267.903999999355</v>
      </c>
      <c r="E7" s="10">
        <f>C7*1.0046511875</f>
        <v>96446.513999999996</v>
      </c>
      <c r="F7" s="10">
        <f>C7*1.00558133333333</f>
        <v>96535.807999999684</v>
      </c>
      <c r="G7" s="10">
        <f>C7*1.00930226041666</f>
        <v>96893.016999999352</v>
      </c>
      <c r="H7" s="10">
        <f>G7</f>
        <v>96893.016999999352</v>
      </c>
      <c r="I7" s="10">
        <f>C7*1.01209375</f>
        <v>97161</v>
      </c>
      <c r="J7" s="10">
        <f>I7</f>
        <v>97161</v>
      </c>
      <c r="K7" s="10">
        <f>C7*1.01395344791666</f>
        <v>97339.530999999362</v>
      </c>
      <c r="L7" s="10">
        <f>K7</f>
        <v>97339.530999999362</v>
      </c>
      <c r="M7" s="4"/>
    </row>
    <row r="8" spans="2:13" s="3" customFormat="1" ht="12.75" x14ac:dyDescent="0.2">
      <c r="B8" s="4" t="s">
        <v>36</v>
      </c>
      <c r="C8" s="4">
        <v>96000</v>
      </c>
      <c r="D8" s="10">
        <f t="shared" ref="D8:D22" si="0">C8*1.00279066666666</f>
        <v>96267.903999999355</v>
      </c>
      <c r="E8" s="10">
        <f t="shared" ref="E8:E22" si="1">C8*1.0046511875</f>
        <v>96446.513999999996</v>
      </c>
      <c r="F8" s="10">
        <f t="shared" ref="F8:F22" si="2">C8*1.00558133333333</f>
        <v>96535.807999999684</v>
      </c>
      <c r="G8" s="10">
        <f t="shared" ref="G8:G22" si="3">C8*1.00930226041666</f>
        <v>96893.016999999352</v>
      </c>
      <c r="H8" s="10">
        <f t="shared" ref="H8:H22" si="4">G8</f>
        <v>96893.016999999352</v>
      </c>
      <c r="I8" s="10">
        <f t="shared" ref="I8:I22" si="5">C8*1.01209375</f>
        <v>97161</v>
      </c>
      <c r="J8" s="10">
        <f t="shared" ref="J8:J22" si="6">I8</f>
        <v>97161</v>
      </c>
      <c r="K8" s="10">
        <f t="shared" ref="K8:K22" si="7">C8*1.01395344791666</f>
        <v>97339.530999999362</v>
      </c>
      <c r="L8" s="10">
        <f t="shared" ref="L8:L22" si="8">K8</f>
        <v>97339.530999999362</v>
      </c>
      <c r="M8" s="4"/>
    </row>
    <row r="9" spans="2:13" s="3" customFormat="1" ht="12.75" x14ac:dyDescent="0.2">
      <c r="B9" s="4" t="s">
        <v>37</v>
      </c>
      <c r="C9" s="4">
        <v>128000</v>
      </c>
      <c r="D9" s="10">
        <f t="shared" si="0"/>
        <v>128357.20533333247</v>
      </c>
      <c r="E9" s="10">
        <f t="shared" si="1"/>
        <v>128595.35199999998</v>
      </c>
      <c r="F9" s="10">
        <f t="shared" si="2"/>
        <v>128714.41066666626</v>
      </c>
      <c r="G9" s="10">
        <f t="shared" si="3"/>
        <v>129190.68933333247</v>
      </c>
      <c r="H9" s="10">
        <f t="shared" si="4"/>
        <v>129190.68933333247</v>
      </c>
      <c r="I9" s="10">
        <f t="shared" si="5"/>
        <v>129548</v>
      </c>
      <c r="J9" s="10">
        <f t="shared" si="6"/>
        <v>129548</v>
      </c>
      <c r="K9" s="10">
        <f t="shared" si="7"/>
        <v>129786.0413333325</v>
      </c>
      <c r="L9" s="10">
        <f t="shared" si="8"/>
        <v>129786.0413333325</v>
      </c>
      <c r="M9" s="4"/>
    </row>
    <row r="10" spans="2:13" s="3" customFormat="1" ht="12.75" x14ac:dyDescent="0.2">
      <c r="B10" s="4" t="s">
        <v>38</v>
      </c>
      <c r="C10" s="4">
        <v>160000</v>
      </c>
      <c r="D10" s="10">
        <f t="shared" si="0"/>
        <v>160446.50666666561</v>
      </c>
      <c r="E10" s="10">
        <f t="shared" si="1"/>
        <v>160744.19</v>
      </c>
      <c r="F10" s="10">
        <f t="shared" si="2"/>
        <v>160893.01333333281</v>
      </c>
      <c r="G10" s="10">
        <f t="shared" si="3"/>
        <v>161488.36166666559</v>
      </c>
      <c r="H10" s="10">
        <f t="shared" si="4"/>
        <v>161488.36166666559</v>
      </c>
      <c r="I10" s="10">
        <f t="shared" si="5"/>
        <v>161935</v>
      </c>
      <c r="J10" s="10">
        <f t="shared" si="6"/>
        <v>161935</v>
      </c>
      <c r="K10" s="10">
        <f t="shared" si="7"/>
        <v>162232.55166666562</v>
      </c>
      <c r="L10" s="10">
        <f t="shared" si="8"/>
        <v>162232.55166666562</v>
      </c>
      <c r="M10" s="4"/>
    </row>
    <row r="11" spans="2:13" s="3" customFormat="1" ht="12.75" x14ac:dyDescent="0.2">
      <c r="B11" s="4"/>
      <c r="C11" s="4"/>
      <c r="D11" s="10"/>
      <c r="E11" s="10"/>
      <c r="F11" s="10"/>
      <c r="G11" s="10"/>
      <c r="H11" s="10"/>
      <c r="I11" s="10"/>
      <c r="J11" s="10"/>
      <c r="K11" s="10"/>
      <c r="L11" s="10">
        <f t="shared" si="8"/>
        <v>0</v>
      </c>
      <c r="M11" s="4"/>
    </row>
    <row r="12" spans="2:13" s="3" customFormat="1" ht="12.75" x14ac:dyDescent="0.2">
      <c r="B12" s="4" t="s">
        <v>39</v>
      </c>
      <c r="C12" s="4"/>
      <c r="D12" s="10"/>
      <c r="E12" s="10"/>
      <c r="F12" s="10"/>
      <c r="G12" s="10"/>
      <c r="H12" s="10"/>
      <c r="I12" s="10"/>
      <c r="J12" s="10"/>
      <c r="K12" s="10"/>
      <c r="L12" s="10">
        <f t="shared" si="8"/>
        <v>0</v>
      </c>
      <c r="M12" s="4"/>
    </row>
    <row r="13" spans="2:13" s="3" customFormat="1" ht="12.75" x14ac:dyDescent="0.2">
      <c r="B13" s="4" t="s">
        <v>40</v>
      </c>
      <c r="C13" s="4">
        <v>68200</v>
      </c>
      <c r="D13" s="10">
        <f t="shared" si="0"/>
        <v>68390.323466666203</v>
      </c>
      <c r="E13" s="10">
        <f t="shared" si="1"/>
        <v>68517.210987500002</v>
      </c>
      <c r="F13" s="10">
        <f t="shared" si="2"/>
        <v>68580.646933333119</v>
      </c>
      <c r="G13" s="10">
        <f t="shared" si="3"/>
        <v>68834.414160416214</v>
      </c>
      <c r="H13" s="10">
        <f t="shared" si="4"/>
        <v>68834.414160416214</v>
      </c>
      <c r="I13" s="10">
        <f t="shared" si="5"/>
        <v>69024.793749999997</v>
      </c>
      <c r="J13" s="10">
        <f t="shared" si="6"/>
        <v>69024.793749999997</v>
      </c>
      <c r="K13" s="10">
        <f t="shared" si="7"/>
        <v>69151.625147916217</v>
      </c>
      <c r="L13" s="10">
        <f t="shared" si="8"/>
        <v>69151.625147916217</v>
      </c>
      <c r="M13" s="4"/>
    </row>
    <row r="14" spans="2:13" s="3" customFormat="1" ht="12.75" x14ac:dyDescent="0.2">
      <c r="B14" s="4" t="s">
        <v>36</v>
      </c>
      <c r="C14" s="4">
        <v>68200</v>
      </c>
      <c r="D14" s="10">
        <f t="shared" si="0"/>
        <v>68390.323466666203</v>
      </c>
      <c r="E14" s="10">
        <f t="shared" si="1"/>
        <v>68517.210987500002</v>
      </c>
      <c r="F14" s="10">
        <f t="shared" si="2"/>
        <v>68580.646933333119</v>
      </c>
      <c r="G14" s="10">
        <f t="shared" si="3"/>
        <v>68834.414160416214</v>
      </c>
      <c r="H14" s="10">
        <f t="shared" si="4"/>
        <v>68834.414160416214</v>
      </c>
      <c r="I14" s="10">
        <f t="shared" si="5"/>
        <v>69024.793749999997</v>
      </c>
      <c r="J14" s="10">
        <f t="shared" si="6"/>
        <v>69024.793749999997</v>
      </c>
      <c r="K14" s="10">
        <f t="shared" si="7"/>
        <v>69151.625147916217</v>
      </c>
      <c r="L14" s="10">
        <f t="shared" si="8"/>
        <v>69151.625147916217</v>
      </c>
      <c r="M14" s="4"/>
    </row>
    <row r="15" spans="2:13" s="3" customFormat="1" ht="12.75" x14ac:dyDescent="0.2">
      <c r="B15" s="4" t="s">
        <v>37</v>
      </c>
      <c r="C15" s="4">
        <v>91700</v>
      </c>
      <c r="D15" s="10">
        <f t="shared" si="0"/>
        <v>91955.904133332719</v>
      </c>
      <c r="E15" s="10">
        <f t="shared" si="1"/>
        <v>92126.513893749987</v>
      </c>
      <c r="F15" s="10">
        <f t="shared" si="2"/>
        <v>92211.808266666369</v>
      </c>
      <c r="G15" s="10">
        <f t="shared" si="3"/>
        <v>92553.017280207714</v>
      </c>
      <c r="H15" s="10">
        <f t="shared" si="4"/>
        <v>92553.017280207714</v>
      </c>
      <c r="I15" s="10">
        <f t="shared" si="5"/>
        <v>92808.996874999997</v>
      </c>
      <c r="J15" s="10">
        <f t="shared" si="6"/>
        <v>92808.996874999997</v>
      </c>
      <c r="K15" s="10">
        <f t="shared" si="7"/>
        <v>92979.53117395773</v>
      </c>
      <c r="L15" s="10">
        <f t="shared" si="8"/>
        <v>92979.53117395773</v>
      </c>
      <c r="M15" s="4"/>
    </row>
    <row r="16" spans="2:13" s="3" customFormat="1" ht="12.75" x14ac:dyDescent="0.2">
      <c r="B16" s="4" t="s">
        <v>38</v>
      </c>
      <c r="C16" s="4">
        <v>114100</v>
      </c>
      <c r="D16" s="10">
        <f t="shared" si="0"/>
        <v>114418.4150666659</v>
      </c>
      <c r="E16" s="10">
        <f t="shared" si="1"/>
        <v>114630.70049374999</v>
      </c>
      <c r="F16" s="10">
        <f t="shared" si="2"/>
        <v>114736.83013333296</v>
      </c>
      <c r="G16" s="10">
        <f t="shared" si="3"/>
        <v>115161.38791354089</v>
      </c>
      <c r="H16" s="10">
        <f t="shared" si="4"/>
        <v>115161.38791354089</v>
      </c>
      <c r="I16" s="10">
        <f t="shared" si="5"/>
        <v>115479.89687500001</v>
      </c>
      <c r="J16" s="10">
        <f t="shared" si="6"/>
        <v>115479.89687500001</v>
      </c>
      <c r="K16" s="10">
        <f t="shared" si="7"/>
        <v>115692.08840729091</v>
      </c>
      <c r="L16" s="10">
        <f t="shared" si="8"/>
        <v>115692.08840729091</v>
      </c>
      <c r="M16" s="4"/>
    </row>
    <row r="17" spans="1:13" s="3" customFormat="1" ht="12.75" x14ac:dyDescent="0.2">
      <c r="B17" s="4"/>
      <c r="C17" s="4"/>
      <c r="D17" s="10"/>
      <c r="E17" s="10"/>
      <c r="F17" s="10"/>
      <c r="G17" s="10"/>
      <c r="H17" s="10"/>
      <c r="I17" s="10"/>
      <c r="J17" s="10"/>
      <c r="K17" s="10"/>
      <c r="L17" s="10">
        <f t="shared" si="8"/>
        <v>0</v>
      </c>
      <c r="M17" s="4"/>
    </row>
    <row r="18" spans="1:13" s="3" customFormat="1" ht="12.75" x14ac:dyDescent="0.2">
      <c r="B18" s="4" t="s">
        <v>41</v>
      </c>
      <c r="C18" s="4"/>
      <c r="D18" s="10"/>
      <c r="E18" s="10"/>
      <c r="F18" s="10"/>
      <c r="G18" s="10"/>
      <c r="H18" s="10"/>
      <c r="I18" s="10"/>
      <c r="J18" s="10"/>
      <c r="K18" s="10"/>
      <c r="L18" s="10">
        <f t="shared" si="8"/>
        <v>0</v>
      </c>
      <c r="M18" s="4"/>
    </row>
    <row r="19" spans="1:13" s="3" customFormat="1" ht="12.75" x14ac:dyDescent="0.2">
      <c r="B19" s="4" t="s">
        <v>35</v>
      </c>
      <c r="C19" s="4">
        <v>27300</v>
      </c>
      <c r="D19" s="10">
        <f t="shared" si="0"/>
        <v>27376.185199999818</v>
      </c>
      <c r="E19" s="10">
        <f t="shared" si="1"/>
        <v>27426.977418749997</v>
      </c>
      <c r="F19" s="10">
        <f t="shared" si="2"/>
        <v>27452.370399999912</v>
      </c>
      <c r="G19" s="10">
        <f t="shared" si="3"/>
        <v>27553.951709374815</v>
      </c>
      <c r="H19" s="10">
        <f t="shared" si="4"/>
        <v>27553.951709374815</v>
      </c>
      <c r="I19" s="10">
        <f t="shared" si="5"/>
        <v>27630.159374999999</v>
      </c>
      <c r="J19" s="10">
        <f t="shared" si="6"/>
        <v>27630.159374999999</v>
      </c>
      <c r="K19" s="10">
        <f t="shared" si="7"/>
        <v>27680.929128124819</v>
      </c>
      <c r="L19" s="10">
        <f t="shared" si="8"/>
        <v>27680.929128124819</v>
      </c>
      <c r="M19" s="4"/>
    </row>
    <row r="20" spans="1:13" s="3" customFormat="1" ht="12.75" x14ac:dyDescent="0.2">
      <c r="B20" s="4" t="s">
        <v>41</v>
      </c>
      <c r="C20" s="4">
        <v>27300</v>
      </c>
      <c r="D20" s="10">
        <f t="shared" si="0"/>
        <v>27376.185199999818</v>
      </c>
      <c r="E20" s="10">
        <f t="shared" si="1"/>
        <v>27426.977418749997</v>
      </c>
      <c r="F20" s="10">
        <f t="shared" si="2"/>
        <v>27452.370399999912</v>
      </c>
      <c r="G20" s="10">
        <f t="shared" si="3"/>
        <v>27553.951709374815</v>
      </c>
      <c r="H20" s="10">
        <f t="shared" si="4"/>
        <v>27553.951709374815</v>
      </c>
      <c r="I20" s="10">
        <f t="shared" si="5"/>
        <v>27630.159374999999</v>
      </c>
      <c r="J20" s="10">
        <f t="shared" si="6"/>
        <v>27630.159374999999</v>
      </c>
      <c r="K20" s="10">
        <f t="shared" si="7"/>
        <v>27680.929128124819</v>
      </c>
      <c r="L20" s="10">
        <f t="shared" si="8"/>
        <v>27680.929128124819</v>
      </c>
      <c r="M20" s="4"/>
    </row>
    <row r="21" spans="1:13" s="3" customFormat="1" ht="12.75" x14ac:dyDescent="0.2">
      <c r="B21" s="4" t="s">
        <v>37</v>
      </c>
      <c r="C21" s="4">
        <v>36700</v>
      </c>
      <c r="D21" s="10">
        <f t="shared" si="0"/>
        <v>36802.417466666418</v>
      </c>
      <c r="E21" s="10">
        <f t="shared" si="1"/>
        <v>36870.698581249999</v>
      </c>
      <c r="F21" s="10">
        <f t="shared" si="2"/>
        <v>36904.834933333215</v>
      </c>
      <c r="G21" s="10">
        <f t="shared" si="3"/>
        <v>37041.39295729142</v>
      </c>
      <c r="H21" s="10">
        <f t="shared" si="4"/>
        <v>37041.39295729142</v>
      </c>
      <c r="I21" s="10">
        <f t="shared" si="5"/>
        <v>37143.840624999997</v>
      </c>
      <c r="J21" s="10">
        <f t="shared" si="6"/>
        <v>37143.840624999997</v>
      </c>
      <c r="K21" s="10">
        <f t="shared" si="7"/>
        <v>37212.091538541426</v>
      </c>
      <c r="L21" s="10">
        <f t="shared" si="8"/>
        <v>37212.091538541426</v>
      </c>
      <c r="M21" s="4"/>
    </row>
    <row r="22" spans="1:13" s="3" customFormat="1" ht="12.75" x14ac:dyDescent="0.2">
      <c r="B22" s="4" t="s">
        <v>38</v>
      </c>
      <c r="C22" s="4">
        <v>45600</v>
      </c>
      <c r="D22" s="10">
        <f t="shared" si="0"/>
        <v>45727.254399999692</v>
      </c>
      <c r="E22" s="10">
        <f t="shared" si="1"/>
        <v>45812.094149999997</v>
      </c>
      <c r="F22" s="10">
        <f t="shared" si="2"/>
        <v>45854.50879999985</v>
      </c>
      <c r="G22" s="10">
        <f t="shared" si="3"/>
        <v>46024.183074999695</v>
      </c>
      <c r="H22" s="10">
        <f t="shared" si="4"/>
        <v>46024.183074999695</v>
      </c>
      <c r="I22" s="10">
        <f t="shared" si="5"/>
        <v>46151.474999999999</v>
      </c>
      <c r="J22" s="10">
        <f t="shared" si="6"/>
        <v>46151.474999999999</v>
      </c>
      <c r="K22" s="10">
        <f t="shared" si="7"/>
        <v>46236.2772249997</v>
      </c>
      <c r="L22" s="10">
        <f t="shared" si="8"/>
        <v>46236.2772249997</v>
      </c>
      <c r="M22" s="4"/>
    </row>
    <row r="23" spans="1:13" s="3" customFormat="1" ht="12.75" x14ac:dyDescent="0.2">
      <c r="D23" s="8"/>
      <c r="E23" s="8"/>
      <c r="F23" s="8"/>
      <c r="G23" s="8"/>
      <c r="H23" s="8"/>
      <c r="I23" s="8"/>
      <c r="J23" s="8"/>
      <c r="K23" s="8"/>
      <c r="L23" s="8"/>
    </row>
    <row r="24" spans="1:13" s="3" customFormat="1" ht="12.75" x14ac:dyDescent="0.2">
      <c r="B24" s="3">
        <v>2017</v>
      </c>
      <c r="D24" s="8"/>
      <c r="E24" s="8"/>
      <c r="F24" s="8"/>
      <c r="G24" s="8"/>
      <c r="H24" s="8"/>
      <c r="I24" s="8"/>
      <c r="J24" s="8"/>
      <c r="K24" s="8"/>
      <c r="L24" s="8"/>
    </row>
    <row r="25" spans="1:13" s="3" customFormat="1" ht="12.75" x14ac:dyDescent="0.2">
      <c r="D25" s="8"/>
      <c r="E25" s="8"/>
      <c r="F25" s="8"/>
      <c r="G25" s="8"/>
      <c r="H25" s="8"/>
      <c r="I25" s="8"/>
      <c r="J25" s="8"/>
      <c r="K25" s="8"/>
      <c r="L25" s="8"/>
    </row>
    <row r="26" spans="1:13" s="11" customFormat="1" ht="12.75" x14ac:dyDescent="0.2">
      <c r="A26" s="12" t="s">
        <v>27</v>
      </c>
      <c r="B26" s="13" t="s">
        <v>88</v>
      </c>
      <c r="C26" s="13" t="s">
        <v>89</v>
      </c>
      <c r="D26" s="13" t="s">
        <v>90</v>
      </c>
      <c r="E26" s="13" t="s">
        <v>91</v>
      </c>
      <c r="F26" s="13" t="s">
        <v>92</v>
      </c>
      <c r="G26" s="13" t="s">
        <v>93</v>
      </c>
      <c r="H26" s="13" t="s">
        <v>94</v>
      </c>
      <c r="I26" s="13" t="s">
        <v>95</v>
      </c>
      <c r="J26" s="13" t="s">
        <v>96</v>
      </c>
      <c r="K26" s="13" t="s">
        <v>97</v>
      </c>
      <c r="L26" s="13" t="s">
        <v>98</v>
      </c>
      <c r="M26" s="13" t="s">
        <v>99</v>
      </c>
    </row>
    <row r="27" spans="1:13" s="3" customFormat="1" ht="12.75" x14ac:dyDescent="0.2">
      <c r="A27" s="4"/>
      <c r="B27" s="4">
        <v>109</v>
      </c>
      <c r="C27" s="9"/>
      <c r="D27" s="9"/>
      <c r="E27" s="9"/>
      <c r="F27" s="9"/>
      <c r="G27" s="9"/>
      <c r="H27" s="9"/>
      <c r="I27" s="9"/>
      <c r="J27" s="9"/>
      <c r="K27" s="9"/>
      <c r="L27" s="10"/>
      <c r="M27" s="4"/>
    </row>
    <row r="28" spans="1:13" s="3" customFormat="1" ht="12.75" x14ac:dyDescent="0.2">
      <c r="A28" s="4" t="s">
        <v>34</v>
      </c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4"/>
    </row>
    <row r="29" spans="1:13" s="3" customFormat="1" ht="12.75" x14ac:dyDescent="0.2">
      <c r="A29" s="4" t="s">
        <v>35</v>
      </c>
      <c r="B29" s="10">
        <f>L7</f>
        <v>97339.530999999362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4"/>
    </row>
    <row r="30" spans="1:13" s="3" customFormat="1" ht="12.75" x14ac:dyDescent="0.2">
      <c r="A30" s="4" t="s">
        <v>36</v>
      </c>
      <c r="B30" s="10">
        <f>L8</f>
        <v>97339.530999999362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4"/>
    </row>
    <row r="31" spans="1:13" s="3" customFormat="1" ht="12.75" x14ac:dyDescent="0.2">
      <c r="A31" s="4" t="s">
        <v>37</v>
      </c>
      <c r="B31" s="10">
        <f>L9</f>
        <v>129786.0413333325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4"/>
    </row>
    <row r="32" spans="1:13" s="3" customFormat="1" ht="12.75" x14ac:dyDescent="0.2">
      <c r="A32" s="4" t="s">
        <v>38</v>
      </c>
      <c r="B32" s="10">
        <f>L10</f>
        <v>162232.55166666562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4"/>
    </row>
    <row r="33" spans="1:13" s="3" customFormat="1" ht="12.75" x14ac:dyDescent="0.2">
      <c r="A33" s="4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4"/>
    </row>
    <row r="34" spans="1:13" s="3" customFormat="1" ht="12.75" x14ac:dyDescent="0.2">
      <c r="A34" s="4" t="s">
        <v>39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4"/>
    </row>
    <row r="35" spans="1:13" s="3" customFormat="1" ht="12.75" x14ac:dyDescent="0.2">
      <c r="A35" s="4" t="s">
        <v>40</v>
      </c>
      <c r="B35" s="10">
        <f>L13</f>
        <v>69151.625147916217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4"/>
    </row>
    <row r="36" spans="1:13" s="3" customFormat="1" ht="12.75" x14ac:dyDescent="0.2">
      <c r="A36" s="4" t="s">
        <v>36</v>
      </c>
      <c r="B36" s="10">
        <f t="shared" ref="B36:B44" si="9">L14</f>
        <v>69151.625147916217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4"/>
    </row>
    <row r="37" spans="1:13" s="3" customFormat="1" ht="12.75" x14ac:dyDescent="0.2">
      <c r="A37" s="4" t="s">
        <v>37</v>
      </c>
      <c r="B37" s="10">
        <f t="shared" si="9"/>
        <v>92979.53117395773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4"/>
    </row>
    <row r="38" spans="1:13" s="3" customFormat="1" ht="12.75" x14ac:dyDescent="0.2">
      <c r="A38" s="4" t="s">
        <v>38</v>
      </c>
      <c r="B38" s="10">
        <f t="shared" si="9"/>
        <v>115692.08840729091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4"/>
    </row>
    <row r="39" spans="1:13" s="3" customFormat="1" ht="12.75" x14ac:dyDescent="0.2">
      <c r="A39" s="4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4"/>
    </row>
    <row r="40" spans="1:13" s="3" customFormat="1" ht="12.75" x14ac:dyDescent="0.2">
      <c r="A40" s="4" t="s">
        <v>41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4"/>
    </row>
    <row r="41" spans="1:13" s="3" customFormat="1" ht="12.75" x14ac:dyDescent="0.2">
      <c r="A41" s="4" t="s">
        <v>35</v>
      </c>
      <c r="B41" s="10">
        <f t="shared" si="9"/>
        <v>27680.929128124819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4"/>
    </row>
    <row r="42" spans="1:13" s="3" customFormat="1" ht="12.75" x14ac:dyDescent="0.2">
      <c r="A42" s="4" t="s">
        <v>41</v>
      </c>
      <c r="B42" s="10">
        <f t="shared" si="9"/>
        <v>27680.929128124819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4"/>
    </row>
    <row r="43" spans="1:13" s="3" customFormat="1" ht="12.75" x14ac:dyDescent="0.2">
      <c r="A43" s="4" t="s">
        <v>37</v>
      </c>
      <c r="B43" s="10">
        <f t="shared" si="9"/>
        <v>37212.091538541426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4"/>
    </row>
    <row r="44" spans="1:13" s="3" customFormat="1" ht="12.75" x14ac:dyDescent="0.2">
      <c r="A44" s="4" t="s">
        <v>38</v>
      </c>
      <c r="B44" s="10">
        <f t="shared" si="9"/>
        <v>46236.2772249997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4"/>
    </row>
    <row r="45" spans="1:13" s="3" customFormat="1" ht="12.75" x14ac:dyDescent="0.2">
      <c r="B45" s="10"/>
      <c r="D45" s="8"/>
      <c r="E45" s="8"/>
      <c r="F45" s="8"/>
      <c r="G45" s="8"/>
      <c r="H45" s="8"/>
      <c r="I45" s="8"/>
      <c r="J45" s="8"/>
      <c r="K45" s="8"/>
      <c r="L45" s="8"/>
    </row>
    <row r="46" spans="1:13" s="3" customFormat="1" ht="12.75" x14ac:dyDescent="0.2">
      <c r="E46" s="8"/>
      <c r="F46" s="8"/>
      <c r="G46" s="8"/>
      <c r="H46" s="8"/>
      <c r="I46" s="8"/>
      <c r="J46" s="8"/>
      <c r="K46" s="8"/>
      <c r="L46" s="8"/>
      <c r="M46" s="8"/>
    </row>
    <row r="47" spans="1:13" s="3" customFormat="1" ht="12.75" x14ac:dyDescent="0.2">
      <c r="E47" s="8"/>
      <c r="F47" s="8"/>
      <c r="G47" s="8"/>
      <c r="H47" s="8"/>
      <c r="I47" s="8"/>
      <c r="J47" s="8"/>
      <c r="K47" s="8"/>
      <c r="L47" s="8"/>
      <c r="M47" s="8"/>
    </row>
  </sheetData>
  <pageMargins left="0.25" right="0.25" top="1.0625" bottom="0.75" header="0.3" footer="0.3"/>
  <pageSetup paperSize="9" orientation="portrait" r:id="rId1"/>
  <headerFooter>
    <oddHeader>&amp;Lירושלים; &amp;D&amp;C&amp;"-,מודגש"&amp;14מדינת ישראל&amp;"-,רגיל"&amp;11
&amp;"-,מודגש"&amp;12משרד הבינוי והשיכון‏&amp;"-,רגיל"&amp;11
&amp;"-,מודגש"מנהל הכפר, אגף תכנון ובצוע&amp;R&amp;G</oddHeader>
    <oddFooter>&amp;C&amp;8__________________________________________________________________________________________________________
כתובת: קרית הממשלה, מזרח ירושלים, ת"ד 18110; מיקוד  91180, טל:  02-5847758 ;פקס: 02-5847330;avrilivni1@gmail.com;0506247758; Avril@moch.gov.il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תחשיב</vt:lpstr>
      <vt:lpstr>מידוד סבסוד</vt:lpstr>
      <vt:lpstr>גיליון3</vt:lpstr>
    </vt:vector>
  </TitlesOfParts>
  <Company>משרד הבינוי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AviSh</dc:creator>
  <cp:lastModifiedBy>ישי רובין</cp:lastModifiedBy>
  <cp:lastPrinted>2021-02-18T08:58:24Z</cp:lastPrinted>
  <dcterms:created xsi:type="dcterms:W3CDTF">2016-09-14T08:15:27Z</dcterms:created>
  <dcterms:modified xsi:type="dcterms:W3CDTF">2021-02-21T09:37:03Z</dcterms:modified>
</cp:coreProperties>
</file>